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bookViews>
    <workbookView xWindow="0" yWindow="0" windowWidth="20490" windowHeight="7755"/>
  </bookViews>
  <sheets>
    <sheet name="اساسيات المشروع" sheetId="6" r:id="rId1"/>
    <sheet name="الدخل" sheetId="7" r:id="rId2"/>
    <sheet name="الميزانية" sheetId="8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8" l="1"/>
  <c r="D11" i="8"/>
  <c r="D13" i="8" s="1"/>
  <c r="D16" i="8" s="1"/>
  <c r="D8" i="8"/>
  <c r="D14" i="8" s="1"/>
  <c r="B34" i="7"/>
  <c r="B28" i="7"/>
  <c r="B27" i="7"/>
  <c r="B26" i="7"/>
  <c r="N16" i="7"/>
  <c r="M11" i="7"/>
  <c r="I11" i="7"/>
  <c r="M10" i="7"/>
  <c r="L10" i="7"/>
  <c r="K10" i="7"/>
  <c r="J10" i="7"/>
  <c r="I10" i="7"/>
  <c r="H10" i="7"/>
  <c r="G10" i="7"/>
  <c r="F10" i="7"/>
  <c r="E10" i="7"/>
  <c r="D10" i="7"/>
  <c r="C10" i="7"/>
  <c r="B10" i="7"/>
  <c r="M9" i="7"/>
  <c r="L9" i="7"/>
  <c r="K9" i="7"/>
  <c r="J9" i="7"/>
  <c r="I9" i="7"/>
  <c r="H9" i="7"/>
  <c r="G9" i="7"/>
  <c r="F9" i="7"/>
  <c r="E9" i="7"/>
  <c r="D9" i="7"/>
  <c r="C9" i="7"/>
  <c r="B9" i="7"/>
  <c r="M8" i="7"/>
  <c r="L8" i="7"/>
  <c r="K8" i="7"/>
  <c r="J8" i="7"/>
  <c r="I8" i="7"/>
  <c r="H8" i="7"/>
  <c r="G8" i="7"/>
  <c r="F8" i="7"/>
  <c r="E8" i="7"/>
  <c r="D8" i="7"/>
  <c r="C8" i="7"/>
  <c r="B8" i="7"/>
  <c r="F7" i="7"/>
  <c r="E130" i="6"/>
  <c r="E117" i="6"/>
  <c r="E123" i="6" s="1"/>
  <c r="B15" i="8" s="1"/>
  <c r="D109" i="6"/>
  <c r="C104" i="6"/>
  <c r="C99" i="6"/>
  <c r="A99" i="6" s="1"/>
  <c r="C98" i="6"/>
  <c r="A98" i="6" s="1"/>
  <c r="C97" i="6"/>
  <c r="E93" i="6"/>
  <c r="E109" i="6" s="1"/>
  <c r="C92" i="6"/>
  <c r="C93" i="6" s="1"/>
  <c r="D73" i="6"/>
  <c r="D66" i="6"/>
  <c r="D75" i="6" s="1"/>
  <c r="E65" i="6"/>
  <c r="E66" i="6" s="1"/>
  <c r="E75" i="6" s="1"/>
  <c r="D61" i="6"/>
  <c r="D74" i="6" s="1"/>
  <c r="E59" i="6"/>
  <c r="E58" i="6"/>
  <c r="E61" i="6" s="1"/>
  <c r="E74" i="6" s="1"/>
  <c r="D54" i="6"/>
  <c r="E53" i="6"/>
  <c r="E52" i="6"/>
  <c r="E51" i="6"/>
  <c r="E50" i="6"/>
  <c r="E46" i="6"/>
  <c r="E72" i="6" s="1"/>
  <c r="D46" i="6"/>
  <c r="D72" i="6" s="1"/>
  <c r="E45" i="6"/>
  <c r="C40" i="6"/>
  <c r="B40" i="6" s="1"/>
  <c r="C39" i="6"/>
  <c r="C41" i="6" s="1"/>
  <c r="D71" i="6" s="1"/>
  <c r="B39" i="6"/>
  <c r="B41" i="6" s="1"/>
  <c r="E71" i="6" s="1"/>
  <c r="C34" i="6"/>
  <c r="B34" i="6"/>
  <c r="C33" i="6"/>
  <c r="C35" i="6" s="1"/>
  <c r="D70" i="6" s="1"/>
  <c r="C32" i="6"/>
  <c r="B32" i="6"/>
  <c r="C26" i="6"/>
  <c r="B26" i="6"/>
  <c r="C25" i="6"/>
  <c r="C27" i="6" s="1"/>
  <c r="Q14" i="6"/>
  <c r="Q15" i="6" s="1"/>
  <c r="Q16" i="6" s="1"/>
  <c r="K12" i="7" l="1"/>
  <c r="G12" i="7"/>
  <c r="C12" i="7"/>
  <c r="J12" i="7"/>
  <c r="F12" i="7"/>
  <c r="B12" i="7"/>
  <c r="M12" i="7"/>
  <c r="I12" i="7"/>
  <c r="E12" i="7"/>
  <c r="H12" i="7"/>
  <c r="D12" i="7"/>
  <c r="L12" i="7"/>
  <c r="E26" i="7"/>
  <c r="D26" i="7"/>
  <c r="C26" i="7"/>
  <c r="F26" i="7"/>
  <c r="L4" i="7"/>
  <c r="H4" i="7"/>
  <c r="D4" i="7"/>
  <c r="K4" i="7"/>
  <c r="G4" i="7"/>
  <c r="C4" i="7"/>
  <c r="J4" i="7"/>
  <c r="F4" i="7"/>
  <c r="B4" i="7"/>
  <c r="C109" i="6"/>
  <c r="D27" i="7"/>
  <c r="E27" i="7"/>
  <c r="C27" i="7"/>
  <c r="F27" i="7"/>
  <c r="L11" i="7"/>
  <c r="H11" i="7"/>
  <c r="D11" i="7"/>
  <c r="K11" i="7"/>
  <c r="G11" i="7"/>
  <c r="C11" i="7"/>
  <c r="J11" i="7"/>
  <c r="F11" i="7"/>
  <c r="B11" i="7"/>
  <c r="E4" i="7"/>
  <c r="F29" i="7"/>
  <c r="E29" i="7"/>
  <c r="D29" i="7"/>
  <c r="C29" i="7"/>
  <c r="A97" i="6"/>
  <c r="A100" i="6" s="1"/>
  <c r="D110" i="6" s="1"/>
  <c r="C110" i="6" s="1"/>
  <c r="C100" i="6"/>
  <c r="E110" i="6" s="1"/>
  <c r="B12" i="8" s="1"/>
  <c r="M4" i="7"/>
  <c r="M7" i="7"/>
  <c r="I7" i="7"/>
  <c r="E7" i="7"/>
  <c r="L7" i="7"/>
  <c r="H7" i="7"/>
  <c r="D7" i="7"/>
  <c r="D76" i="6"/>
  <c r="K7" i="7"/>
  <c r="G7" i="7"/>
  <c r="C7" i="7"/>
  <c r="J7" i="7"/>
  <c r="E54" i="6"/>
  <c r="E73" i="6" s="1"/>
  <c r="E30" i="7"/>
  <c r="D30" i="7"/>
  <c r="F30" i="7"/>
  <c r="C30" i="7"/>
  <c r="B11" i="8"/>
  <c r="B14" i="8" s="1"/>
  <c r="A104" i="6"/>
  <c r="A105" i="6" s="1"/>
  <c r="D111" i="6" s="1"/>
  <c r="C111" i="6" s="1"/>
  <c r="C105" i="6"/>
  <c r="E111" i="6" s="1"/>
  <c r="B13" i="8" s="1"/>
  <c r="I4" i="7"/>
  <c r="B7" i="7"/>
  <c r="E11" i="7"/>
  <c r="B25" i="6"/>
  <c r="B27" i="6" s="1"/>
  <c r="B33" i="6"/>
  <c r="B35" i="6" s="1"/>
  <c r="E70" i="6" s="1"/>
  <c r="F25" i="7" l="1"/>
  <c r="E76" i="6"/>
  <c r="E25" i="7"/>
  <c r="D25" i="7"/>
  <c r="C25" i="7"/>
  <c r="D77" i="6"/>
  <c r="D78" i="6" s="1"/>
  <c r="K5" i="7"/>
  <c r="K6" i="7"/>
  <c r="I6" i="7"/>
  <c r="I5" i="7"/>
  <c r="D112" i="6"/>
  <c r="D6" i="7"/>
  <c r="D5" i="7"/>
  <c r="E22" i="7"/>
  <c r="D22" i="7"/>
  <c r="F22" i="7"/>
  <c r="C22" i="7"/>
  <c r="C28" i="7"/>
  <c r="F28" i="7"/>
  <c r="D28" i="7"/>
  <c r="E28" i="7"/>
  <c r="E5" i="7"/>
  <c r="E6" i="7" s="1"/>
  <c r="C112" i="6"/>
  <c r="C5" i="7"/>
  <c r="C6" i="7"/>
  <c r="H5" i="7"/>
  <c r="H6" i="7" s="1"/>
  <c r="N7" i="7"/>
  <c r="F6" i="7"/>
  <c r="F5" i="7"/>
  <c r="E112" i="6"/>
  <c r="J5" i="7"/>
  <c r="J6" i="7" s="1"/>
  <c r="M5" i="7"/>
  <c r="M6" i="7" s="1"/>
  <c r="N11" i="7"/>
  <c r="B29" i="7" s="1"/>
  <c r="B6" i="7"/>
  <c r="B5" i="7"/>
  <c r="N4" i="7"/>
  <c r="G5" i="7"/>
  <c r="G6" i="7"/>
  <c r="L5" i="7"/>
  <c r="L6" i="7" s="1"/>
  <c r="E23" i="7" l="1"/>
  <c r="E24" i="7" s="1"/>
  <c r="N6" i="7"/>
  <c r="B22" i="7"/>
  <c r="E122" i="6"/>
  <c r="C17" i="6"/>
  <c r="B25" i="7"/>
  <c r="C23" i="7"/>
  <c r="C24" i="7" s="1"/>
  <c r="C33" i="7" s="1"/>
  <c r="C35" i="7" s="1"/>
  <c r="E77" i="6"/>
  <c r="E78" i="6" s="1"/>
  <c r="D23" i="7"/>
  <c r="D24" i="7"/>
  <c r="D31" i="7"/>
  <c r="D32" i="7" s="1"/>
  <c r="N13" i="7"/>
  <c r="C31" i="7"/>
  <c r="C32" i="7" s="1"/>
  <c r="F31" i="7"/>
  <c r="F32" i="7" s="1"/>
  <c r="E31" i="7"/>
  <c r="E32" i="7" s="1"/>
  <c r="N5" i="7"/>
  <c r="F23" i="7"/>
  <c r="F24" i="7" s="1"/>
  <c r="E86" i="6" l="1"/>
  <c r="B6" i="8" s="1"/>
  <c r="E85" i="6"/>
  <c r="B5" i="8" s="1"/>
  <c r="E84" i="6"/>
  <c r="C37" i="7"/>
  <c r="F33" i="7"/>
  <c r="F35" i="7" s="1"/>
  <c r="E33" i="7"/>
  <c r="E35" i="7" s="1"/>
  <c r="D33" i="7"/>
  <c r="D35" i="7" s="1"/>
  <c r="J13" i="7"/>
  <c r="J14" i="7" s="1"/>
  <c r="J15" i="7" s="1"/>
  <c r="J17" i="7" s="1"/>
  <c r="F13" i="7"/>
  <c r="F14" i="7" s="1"/>
  <c r="F15" i="7" s="1"/>
  <c r="F17" i="7" s="1"/>
  <c r="B13" i="7"/>
  <c r="B14" i="7" s="1"/>
  <c r="B15" i="7" s="1"/>
  <c r="B17" i="7" s="1"/>
  <c r="M13" i="7"/>
  <c r="M14" i="7" s="1"/>
  <c r="M15" i="7" s="1"/>
  <c r="M17" i="7" s="1"/>
  <c r="I13" i="7"/>
  <c r="I14" i="7" s="1"/>
  <c r="I15" i="7" s="1"/>
  <c r="I17" i="7" s="1"/>
  <c r="E13" i="7"/>
  <c r="E14" i="7" s="1"/>
  <c r="E15" i="7" s="1"/>
  <c r="E17" i="7" s="1"/>
  <c r="B31" i="7"/>
  <c r="L13" i="7"/>
  <c r="L14" i="7" s="1"/>
  <c r="L15" i="7" s="1"/>
  <c r="L17" i="7" s="1"/>
  <c r="H13" i="7"/>
  <c r="H14" i="7" s="1"/>
  <c r="H15" i="7" s="1"/>
  <c r="H17" i="7" s="1"/>
  <c r="D13" i="7"/>
  <c r="D14" i="7" s="1"/>
  <c r="D15" i="7" s="1"/>
  <c r="D17" i="7" s="1"/>
  <c r="K13" i="7"/>
  <c r="K14" i="7" s="1"/>
  <c r="K15" i="7" s="1"/>
  <c r="K17" i="7" s="1"/>
  <c r="C13" i="7"/>
  <c r="C14" i="7" s="1"/>
  <c r="C15" i="7" s="1"/>
  <c r="C17" i="7" s="1"/>
  <c r="G13" i="7"/>
  <c r="G14" i="7" s="1"/>
  <c r="G15" i="7" s="1"/>
  <c r="G17" i="7" s="1"/>
  <c r="B23" i="7"/>
  <c r="B24" i="7" s="1"/>
  <c r="E87" i="6" l="1"/>
  <c r="B4" i="8"/>
  <c r="B8" i="8" s="1"/>
  <c r="B16" i="8" s="1"/>
  <c r="D37" i="7"/>
  <c r="F37" i="7"/>
  <c r="E37" i="7"/>
  <c r="E18" i="6" l="1"/>
  <c r="E17" i="6" s="1"/>
  <c r="E121" i="6"/>
  <c r="E124" i="6" s="1"/>
  <c r="C36" i="7" l="1"/>
  <c r="E36" i="7"/>
  <c r="F36" i="7"/>
  <c r="D36" i="7"/>
  <c r="B37" i="7"/>
  <c r="B36" i="7"/>
  <c r="B35" i="7"/>
  <c r="C19" i="6"/>
  <c r="C20" i="6"/>
  <c r="B30" i="7"/>
  <c r="B32" i="7"/>
  <c r="B33" i="7"/>
  <c r="N12" i="7"/>
  <c r="N14" i="7"/>
  <c r="N15" i="7"/>
  <c r="N17" i="7"/>
</calcChain>
</file>

<file path=xl/sharedStrings.xml><?xml version="1.0" encoding="utf-8"?>
<sst xmlns="http://schemas.openxmlformats.org/spreadsheetml/2006/main" count="222" uniqueCount="142">
  <si>
    <t>اسم المشروع:</t>
  </si>
  <si>
    <t>الفكرة:</t>
  </si>
  <si>
    <t>خصائص ومدخلات المشروع:</t>
  </si>
  <si>
    <t>الآلات والمعدات</t>
  </si>
  <si>
    <t>مساحة لا تقل عن 50 متر  مربع على شارع عام</t>
  </si>
  <si>
    <t>الموقع</t>
  </si>
  <si>
    <t>صاحب المشروع + عمالة</t>
  </si>
  <si>
    <t>القوة العاملة</t>
  </si>
  <si>
    <t>المواد الخام (السلع)</t>
  </si>
  <si>
    <t>كهرباء، ماء، غاز</t>
  </si>
  <si>
    <t>المرافق والتسهيلات</t>
  </si>
  <si>
    <t>مخرجات المشروع:</t>
  </si>
  <si>
    <t>المنتج/ الخدمة</t>
  </si>
  <si>
    <t>المنفعة الاجتماعية والاقتصادية</t>
  </si>
  <si>
    <t>أهم الخصائص المالية:</t>
  </si>
  <si>
    <t>تكلفة الأصول الثابتة</t>
  </si>
  <si>
    <t>تكلفة المشروع</t>
  </si>
  <si>
    <t>مصروفات التأسيس</t>
  </si>
  <si>
    <t>رأس المال العامل</t>
  </si>
  <si>
    <t>الربح المتوقع في السنة الأولى</t>
  </si>
  <si>
    <t>معدل العائد على الاستثمار</t>
  </si>
  <si>
    <t>قائمة الإيرادات والتكاليف</t>
  </si>
  <si>
    <t>برنامج الإيرادات</t>
  </si>
  <si>
    <t>إجمالي الإيراد السنوي</t>
  </si>
  <si>
    <t>إجمالي الإيراد الشهرية</t>
  </si>
  <si>
    <t>قيمة الوحدة</t>
  </si>
  <si>
    <t>الكمية الشهرية</t>
  </si>
  <si>
    <t>إجمالي الإيرادات</t>
  </si>
  <si>
    <t>التكاليف</t>
  </si>
  <si>
    <t>قيمة المشتريات</t>
  </si>
  <si>
    <t>إجمالي التكلفة السنوية</t>
  </si>
  <si>
    <t>إجمالي التكلفة الشهرية</t>
  </si>
  <si>
    <t>تكلفة الوحدة</t>
  </si>
  <si>
    <t>البند</t>
  </si>
  <si>
    <t>الإجمالي</t>
  </si>
  <si>
    <t>الرواتب والأجور</t>
  </si>
  <si>
    <t>إجمالي الرواتب السنوية</t>
  </si>
  <si>
    <t>إجمالي الرواتب الشهرية</t>
  </si>
  <si>
    <t>الراتب الشهري</t>
  </si>
  <si>
    <t>العدد</t>
  </si>
  <si>
    <t>الوظيفة</t>
  </si>
  <si>
    <t>مدير (صاحب المشروع)</t>
  </si>
  <si>
    <t>عامل</t>
  </si>
  <si>
    <t>الإيجارات</t>
  </si>
  <si>
    <t>ملاحظات</t>
  </si>
  <si>
    <t>قيمة الإيجار الشهري</t>
  </si>
  <si>
    <t>قيمة الإيجار السنوية</t>
  </si>
  <si>
    <t>الأصل</t>
  </si>
  <si>
    <t>محل بمساحة 50 متر مربع</t>
  </si>
  <si>
    <t>المصاريف الإدارية</t>
  </si>
  <si>
    <t>التكلفة الشهرية</t>
  </si>
  <si>
    <t>التكلفة السنوية</t>
  </si>
  <si>
    <t>رسوم تراخيص</t>
  </si>
  <si>
    <t>مصروفات تسويق (سنوي)</t>
  </si>
  <si>
    <t xml:space="preserve">أدوات مكتبية </t>
  </si>
  <si>
    <t>مصروفات هاتف وجوال</t>
  </si>
  <si>
    <t>تكاليف المرافق والطاقة</t>
  </si>
  <si>
    <t>المياه</t>
  </si>
  <si>
    <t>الكهرباء</t>
  </si>
  <si>
    <t>تكاليف الصيانة وقطع</t>
  </si>
  <si>
    <t>صيانة المعدات</t>
  </si>
  <si>
    <t>تكاليف التشغيل</t>
  </si>
  <si>
    <t>تكاليف الصيانة وقطع الغيار</t>
  </si>
  <si>
    <t>المجموع</t>
  </si>
  <si>
    <t>إحتياطي ( (%5 ) من إجمالي تكاليف التشغيل</t>
  </si>
  <si>
    <t>إجمالي التكاليف التشغيلية + الإحتياطي</t>
  </si>
  <si>
    <t>قائمة الأصول والخصوم التفصيلية</t>
  </si>
  <si>
    <t>الأصول المتداولة</t>
  </si>
  <si>
    <t>طريقة الحساب</t>
  </si>
  <si>
    <t>التكلفة</t>
  </si>
  <si>
    <t xml:space="preserve">  5%من تكاليف التشغيل السنوية </t>
  </si>
  <si>
    <t>نقدية</t>
  </si>
  <si>
    <t xml:space="preserve"> 5%من تكاليف التشغيل السنوية</t>
  </si>
  <si>
    <t>ذمم</t>
  </si>
  <si>
    <t xml:space="preserve"> 10%من تكاليف التشغيل السنوية</t>
  </si>
  <si>
    <t>مخزون بأنواعه</t>
  </si>
  <si>
    <t>الأصول الثابتة</t>
  </si>
  <si>
    <t>المنشآت والمباني</t>
  </si>
  <si>
    <t>قيمة الإهلاك السنوي</t>
  </si>
  <si>
    <t>نسبة الإهلاك</t>
  </si>
  <si>
    <t>تجهيز المباني</t>
  </si>
  <si>
    <t>قيمة الإهلاك السنوية</t>
  </si>
  <si>
    <t>نسبة الإهلاك السنوي</t>
  </si>
  <si>
    <t>إجمالي التكلفة</t>
  </si>
  <si>
    <t>السعر</t>
  </si>
  <si>
    <t>الكمية</t>
  </si>
  <si>
    <t>الأثاث</t>
  </si>
  <si>
    <t>الاهلاك الشهري</t>
  </si>
  <si>
    <t>الاهلاك السنوي</t>
  </si>
  <si>
    <t>مصروفات تأسيس أخرى</t>
  </si>
  <si>
    <t>رأس المال المستثمر</t>
  </si>
  <si>
    <t>القيمة</t>
  </si>
  <si>
    <t>أصول متداولة</t>
  </si>
  <si>
    <t>أصول ثابتة</t>
  </si>
  <si>
    <t>مصروفات تأسيس</t>
  </si>
  <si>
    <t>الخصوم وحقوق الملكية</t>
  </si>
  <si>
    <t>تمويل شخصي</t>
  </si>
  <si>
    <t>قرض بنك تجاري</t>
  </si>
  <si>
    <t>قائمة الدخل المتوقع للسنة الأولى</t>
  </si>
  <si>
    <t>مجموع السنة الأولى</t>
  </si>
  <si>
    <t>الشهر</t>
  </si>
  <si>
    <t>الطاقة الإنتاجية</t>
  </si>
  <si>
    <t>الإيرادات</t>
  </si>
  <si>
    <t>خصم الترويج وعمولات البيع</t>
  </si>
  <si>
    <t>صافي الإيرادات</t>
  </si>
  <si>
    <t>إهلاك الأصول</t>
  </si>
  <si>
    <t>إجمالي التكاليف</t>
  </si>
  <si>
    <t>إجمالي ربح التشغيل</t>
  </si>
  <si>
    <t>رسوم خدمة بنكية</t>
  </si>
  <si>
    <t>صافي الربح</t>
  </si>
  <si>
    <t>قائمة الدخل المتوقع لخمس سنوات</t>
  </si>
  <si>
    <t>خصم الترويج و عمولات البيع</t>
  </si>
  <si>
    <t>صافي الربح/ التكاليف الاستثمارية</t>
  </si>
  <si>
    <t>صافي الربح/ الإيراد السنوي المتوقع</t>
  </si>
  <si>
    <t>ميزانية عمومية افتتاحية</t>
  </si>
  <si>
    <t>إجمالي</t>
  </si>
  <si>
    <t>خصوم وحقوق الملكية</t>
  </si>
  <si>
    <t>أصول</t>
  </si>
  <si>
    <t>خصوم متداولة:</t>
  </si>
  <si>
    <t>أصول متداولة:</t>
  </si>
  <si>
    <t>قروض ودائنون</t>
  </si>
  <si>
    <t>موردون</t>
  </si>
  <si>
    <t>مدينون وعملاء</t>
  </si>
  <si>
    <t>مخزون بضائع</t>
  </si>
  <si>
    <t>أصول متداولة أخرى</t>
  </si>
  <si>
    <t>مجموع الخصوم المتداولة</t>
  </si>
  <si>
    <t>مجموع الأصول المتداولة</t>
  </si>
  <si>
    <t>خصوم طويلة الأجل:</t>
  </si>
  <si>
    <t>أصول ثابتة:</t>
  </si>
  <si>
    <t>قروض طويلة الأجل</t>
  </si>
  <si>
    <t>مباني ومنشآت</t>
  </si>
  <si>
    <t>خصوم طويلة أخرى</t>
  </si>
  <si>
    <t>آلات ومعدات</t>
  </si>
  <si>
    <t>مجموع الخصوم طويلة الأجل</t>
  </si>
  <si>
    <t>أثاث</t>
  </si>
  <si>
    <t>مجموع الخصوم</t>
  </si>
  <si>
    <t>مجموع الأصول الثابتة</t>
  </si>
  <si>
    <t>حقوق الملكية (رأس المال)</t>
  </si>
  <si>
    <t>مجموع الخصوم وحقوق الملكية</t>
  </si>
  <si>
    <t>مجموع الأصول</t>
  </si>
  <si>
    <t>نموذجي</t>
  </si>
  <si>
    <t>نموذج دراسة جدوى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</si>
</sst>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€_-;\-* #,##0.00\ _€_-;_-* &quot;-&quot;??\ _€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0" fillId="3" borderId="0" xfId="0" applyFill="1"/>
    <xf numFmtId="9" fontId="1" fillId="0" borderId="0" xfId="1" applyFont="1"/>
    <xf numFmtId="0" fontId="0" fillId="4" borderId="3" xfId="0" applyFill="1" applyBorder="1"/>
    <xf numFmtId="0" fontId="0" fillId="4" borderId="6" xfId="0" applyFill="1" applyBorder="1"/>
    <xf numFmtId="0" fontId="0" fillId="4" borderId="9" xfId="0" applyFill="1" applyBorder="1"/>
    <xf numFmtId="164" fontId="1" fillId="0" borderId="0" xfId="2" applyFont="1"/>
    <xf numFmtId="164" fontId="1" fillId="0" borderId="1" xfId="2" applyFont="1" applyBorder="1" applyAlignment="1">
      <alignment horizontal="center" vertical="center"/>
    </xf>
    <xf numFmtId="0" fontId="0" fillId="4" borderId="2" xfId="0" applyFill="1" applyBorder="1"/>
    <xf numFmtId="164" fontId="1" fillId="0" borderId="2" xfId="2" applyFont="1" applyBorder="1" applyAlignment="1">
      <alignment horizontal="center" vertical="center"/>
    </xf>
    <xf numFmtId="164" fontId="1" fillId="0" borderId="4" xfId="2" applyFont="1" applyBorder="1" applyAlignment="1">
      <alignment horizontal="center" vertical="center"/>
    </xf>
    <xf numFmtId="0" fontId="0" fillId="4" borderId="5" xfId="0" applyFill="1" applyBorder="1"/>
    <xf numFmtId="164" fontId="1" fillId="0" borderId="5" xfId="2" applyFont="1" applyBorder="1" applyAlignment="1">
      <alignment horizontal="center" vertical="center"/>
    </xf>
    <xf numFmtId="0" fontId="0" fillId="5" borderId="0" xfId="0" applyFill="1"/>
    <xf numFmtId="0" fontId="0" fillId="0" borderId="5" xfId="0" applyBorder="1" applyAlignment="1">
      <alignment horizontal="center" vertical="center"/>
    </xf>
    <xf numFmtId="0" fontId="0" fillId="0" borderId="5" xfId="0" applyBorder="1"/>
    <xf numFmtId="164" fontId="1" fillId="6" borderId="5" xfId="2" applyFont="1" applyFill="1" applyBorder="1"/>
    <xf numFmtId="0" fontId="0" fillId="6" borderId="5" xfId="0" applyFill="1" applyBorder="1"/>
    <xf numFmtId="164" fontId="1" fillId="6" borderId="5" xfId="2" applyFont="1" applyFill="1" applyBorder="1" applyAlignment="1">
      <alignment horizontal="center" vertical="center"/>
    </xf>
    <xf numFmtId="164" fontId="1" fillId="0" borderId="5" xfId="2" applyFont="1" applyBorder="1"/>
    <xf numFmtId="164" fontId="0" fillId="0" borderId="5" xfId="0" applyNumberFormat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1" fillId="0" borderId="5" xfId="1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horizontal="center" vertical="center"/>
    </xf>
    <xf numFmtId="9" fontId="0" fillId="0" borderId="5" xfId="0" applyNumberFormat="1" applyBorder="1"/>
    <xf numFmtId="164" fontId="1" fillId="6" borderId="5" xfId="2" applyFont="1" applyFill="1" applyBorder="1" applyAlignment="1">
      <alignment horizontal="center"/>
    </xf>
    <xf numFmtId="165" fontId="0" fillId="0" borderId="0" xfId="0" applyNumberFormat="1"/>
    <xf numFmtId="165" fontId="0" fillId="0" borderId="5" xfId="0" applyNumberFormat="1" applyBorder="1" applyAlignment="1">
      <alignment horizontal="center" vertical="center"/>
    </xf>
    <xf numFmtId="165" fontId="0" fillId="6" borderId="5" xfId="0" applyNumberFormat="1" applyFill="1" applyBorder="1" applyAlignment="1">
      <alignment horizontal="center" vertical="center"/>
    </xf>
    <xf numFmtId="166" fontId="1" fillId="0" borderId="0" xfId="1" applyNumberFormat="1" applyFont="1"/>
    <xf numFmtId="10" fontId="1" fillId="0" borderId="0" xfId="1" applyNumberFormat="1" applyFont="1"/>
    <xf numFmtId="10" fontId="1" fillId="0" borderId="5" xfId="1" applyNumberFormat="1" applyFont="1" applyBorder="1" applyAlignment="1">
      <alignment horizontal="center" vertical="center"/>
    </xf>
    <xf numFmtId="164" fontId="1" fillId="0" borderId="5" xfId="2" applyFon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3" applyFont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0" borderId="16" xfId="2" applyFont="1" applyBorder="1" applyAlignment="1">
      <alignment horizontal="center" vertical="center"/>
    </xf>
    <xf numFmtId="164" fontId="1" fillId="0" borderId="17" xfId="2" applyFont="1" applyBorder="1" applyAlignment="1">
      <alignment horizontal="center" vertical="center"/>
    </xf>
    <xf numFmtId="164" fontId="1" fillId="0" borderId="18" xfId="2" applyFont="1" applyBorder="1" applyAlignment="1">
      <alignment horizontal="center" vertical="center"/>
    </xf>
    <xf numFmtId="10" fontId="1" fillId="0" borderId="13" xfId="1" applyNumberFormat="1" applyFont="1" applyBorder="1" applyAlignment="1">
      <alignment horizontal="right" vertical="center"/>
    </xf>
    <xf numFmtId="10" fontId="1" fillId="0" borderId="14" xfId="1" applyNumberFormat="1" applyFont="1" applyBorder="1" applyAlignment="1">
      <alignment horizontal="right" vertical="center"/>
    </xf>
    <xf numFmtId="10" fontId="1" fillId="0" borderId="15" xfId="1" applyNumberFormat="1" applyFont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4" borderId="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4" fillId="0" borderId="0" xfId="3" applyAlignment="1">
      <alignment horizontal="center"/>
    </xf>
  </cellXfs>
  <cellStyles count="4">
    <cellStyle name="Comma 2" xfId="2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5aznh.com/feasibility-study-for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mozagy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rightToLeft="1" tabSelected="1" topLeftCell="A22" zoomScale="112" zoomScaleNormal="112" workbookViewId="0">
      <selection activeCell="B7" sqref="B7"/>
    </sheetView>
  </sheetViews>
  <sheetFormatPr defaultColWidth="11.42578125" defaultRowHeight="15" x14ac:dyDescent="0.25"/>
  <cols>
    <col min="1" max="1" width="20.85546875" customWidth="1"/>
    <col min="2" max="2" width="18" customWidth="1"/>
    <col min="3" max="3" width="19.140625" customWidth="1"/>
    <col min="4" max="4" width="22.42578125" customWidth="1"/>
    <col min="5" max="5" width="20.5703125" customWidth="1"/>
    <col min="6" max="6" width="35" customWidth="1"/>
    <col min="7" max="7" width="18" customWidth="1"/>
    <col min="8" max="8" width="18.5703125" customWidth="1"/>
    <col min="9" max="9" width="17.7109375" customWidth="1"/>
    <col min="10" max="10" width="16.7109375" customWidth="1"/>
    <col min="11" max="11" width="17.7109375" customWidth="1"/>
    <col min="12" max="12" width="23.7109375" customWidth="1"/>
    <col min="13" max="13" width="16" customWidth="1"/>
    <col min="14" max="14" width="35.7109375" customWidth="1"/>
  </cols>
  <sheetData>
    <row r="1" spans="3:17" x14ac:dyDescent="0.25">
      <c r="E1" s="72" t="s">
        <v>141</v>
      </c>
    </row>
    <row r="2" spans="3:17" x14ac:dyDescent="0.25">
      <c r="C2" s="43" t="s">
        <v>0</v>
      </c>
      <c r="D2" s="43"/>
      <c r="E2" s="43"/>
      <c r="F2" s="43"/>
    </row>
    <row r="4" spans="3:17" x14ac:dyDescent="0.25">
      <c r="F4" s="1" t="s">
        <v>1</v>
      </c>
    </row>
    <row r="5" spans="3:17" ht="15.75" thickBot="1" x14ac:dyDescent="0.3">
      <c r="F5" s="1" t="s">
        <v>2</v>
      </c>
      <c r="G5" s="2"/>
    </row>
    <row r="6" spans="3:17" x14ac:dyDescent="0.25">
      <c r="C6" s="44"/>
      <c r="D6" s="45"/>
      <c r="E6" s="45"/>
      <c r="F6" s="3" t="s">
        <v>3</v>
      </c>
    </row>
    <row r="7" spans="3:17" x14ac:dyDescent="0.25">
      <c r="C7" s="46" t="s">
        <v>4</v>
      </c>
      <c r="D7" s="47"/>
      <c r="E7" s="47"/>
      <c r="F7" s="4" t="s">
        <v>5</v>
      </c>
    </row>
    <row r="8" spans="3:17" x14ac:dyDescent="0.25">
      <c r="C8" s="46" t="s">
        <v>6</v>
      </c>
      <c r="D8" s="47"/>
      <c r="E8" s="47"/>
      <c r="F8" s="4" t="s">
        <v>7</v>
      </c>
    </row>
    <row r="9" spans="3:17" x14ac:dyDescent="0.25">
      <c r="C9" s="48"/>
      <c r="D9" s="49"/>
      <c r="E9" s="49"/>
      <c r="F9" s="4" t="s">
        <v>8</v>
      </c>
    </row>
    <row r="10" spans="3:17" ht="15.75" thickBot="1" x14ac:dyDescent="0.3">
      <c r="C10" s="41" t="s">
        <v>9</v>
      </c>
      <c r="D10" s="42"/>
      <c r="E10" s="42"/>
      <c r="F10" s="5" t="s">
        <v>10</v>
      </c>
      <c r="P10" s="6">
        <v>71178</v>
      </c>
      <c r="Q10" s="6"/>
    </row>
    <row r="11" spans="3:17" x14ac:dyDescent="0.25">
      <c r="P11" s="6">
        <v>31598</v>
      </c>
      <c r="Q11" s="6"/>
    </row>
    <row r="12" spans="3:17" ht="15.75" thickBot="1" x14ac:dyDescent="0.3">
      <c r="F12" s="1" t="s">
        <v>11</v>
      </c>
      <c r="P12" s="6">
        <v>38380</v>
      </c>
      <c r="Q12" s="6"/>
    </row>
    <row r="13" spans="3:17" x14ac:dyDescent="0.25">
      <c r="C13" s="52"/>
      <c r="D13" s="53"/>
      <c r="E13" s="54"/>
      <c r="F13" s="3" t="s">
        <v>12</v>
      </c>
      <c r="P13" s="6">
        <v>1200</v>
      </c>
      <c r="Q13" s="6"/>
    </row>
    <row r="14" spans="3:17" ht="15.75" thickBot="1" x14ac:dyDescent="0.3">
      <c r="C14" s="55"/>
      <c r="D14" s="56"/>
      <c r="E14" s="57"/>
      <c r="F14" s="5" t="s">
        <v>13</v>
      </c>
      <c r="P14" s="6">
        <v>492</v>
      </c>
      <c r="Q14" s="6">
        <f>+P10+P11+P12-P13</f>
        <v>139956</v>
      </c>
    </row>
    <row r="15" spans="3:17" x14ac:dyDescent="0.25">
      <c r="P15" s="6"/>
      <c r="Q15" s="6">
        <f>Q14-P14</f>
        <v>139464</v>
      </c>
    </row>
    <row r="16" spans="3:17" ht="15.75" thickBot="1" x14ac:dyDescent="0.3">
      <c r="F16" s="1" t="s">
        <v>14</v>
      </c>
      <c r="P16" s="6"/>
      <c r="Q16" s="6">
        <f>Q15-P10-P12</f>
        <v>29906</v>
      </c>
    </row>
    <row r="17" spans="2:6" x14ac:dyDescent="0.25">
      <c r="C17" s="7">
        <f>+E112</f>
        <v>250000</v>
      </c>
      <c r="D17" s="8" t="s">
        <v>15</v>
      </c>
      <c r="E17" s="9">
        <f>+C17+E18+C18</f>
        <v>322284</v>
      </c>
      <c r="F17" s="3" t="s">
        <v>16</v>
      </c>
    </row>
    <row r="18" spans="2:6" x14ac:dyDescent="0.25">
      <c r="C18" s="10">
        <v>5000</v>
      </c>
      <c r="D18" s="11" t="s">
        <v>17</v>
      </c>
      <c r="E18" s="12">
        <f>+E87</f>
        <v>67284</v>
      </c>
      <c r="F18" s="4" t="s">
        <v>18</v>
      </c>
    </row>
    <row r="19" spans="2:6" x14ac:dyDescent="0.25">
      <c r="C19" s="58">
        <f ca="1">+الدخل!B35</f>
        <v>51650</v>
      </c>
      <c r="D19" s="59"/>
      <c r="E19" s="60"/>
      <c r="F19" s="4" t="s">
        <v>19</v>
      </c>
    </row>
    <row r="20" spans="2:6" ht="15.75" thickBot="1" x14ac:dyDescent="0.3">
      <c r="C20" s="61">
        <f ca="1">+C19/E17</f>
        <v>0.16026237728214868</v>
      </c>
      <c r="D20" s="62"/>
      <c r="E20" s="63"/>
      <c r="F20" s="5" t="s">
        <v>20</v>
      </c>
    </row>
    <row r="22" spans="2:6" x14ac:dyDescent="0.25">
      <c r="B22" s="64" t="s">
        <v>21</v>
      </c>
      <c r="C22" s="64"/>
      <c r="D22" s="64"/>
      <c r="E22" s="64"/>
      <c r="F22" s="64"/>
    </row>
    <row r="23" spans="2:6" x14ac:dyDescent="0.25">
      <c r="F23" s="13" t="s">
        <v>22</v>
      </c>
    </row>
    <row r="24" spans="2:6" x14ac:dyDescent="0.25">
      <c r="B24" s="11" t="s">
        <v>23</v>
      </c>
      <c r="C24" s="11" t="s">
        <v>24</v>
      </c>
      <c r="D24" s="11" t="s">
        <v>25</v>
      </c>
      <c r="E24" s="11" t="s">
        <v>26</v>
      </c>
      <c r="F24" s="11" t="s">
        <v>12</v>
      </c>
    </row>
    <row r="25" spans="2:6" x14ac:dyDescent="0.25">
      <c r="B25" s="12">
        <f>C25*12</f>
        <v>360000</v>
      </c>
      <c r="C25" s="12">
        <f>+E25*D25</f>
        <v>30000</v>
      </c>
      <c r="D25" s="12">
        <v>150</v>
      </c>
      <c r="E25" s="14">
        <v>200</v>
      </c>
      <c r="F25" s="15"/>
    </row>
    <row r="26" spans="2:6" x14ac:dyDescent="0.25">
      <c r="B26" s="12">
        <f>C26*12</f>
        <v>216000</v>
      </c>
      <c r="C26" s="12">
        <f>+E26*D26</f>
        <v>18000</v>
      </c>
      <c r="D26" s="12">
        <v>90</v>
      </c>
      <c r="E26" s="14">
        <v>200</v>
      </c>
      <c r="F26" s="15"/>
    </row>
    <row r="27" spans="2:6" x14ac:dyDescent="0.25">
      <c r="B27" s="16">
        <f>SUM(B25:B26)</f>
        <v>576000</v>
      </c>
      <c r="C27" s="16">
        <f>SUM(C25:C26)</f>
        <v>48000</v>
      </c>
      <c r="D27" s="17"/>
      <c r="E27" s="17"/>
      <c r="F27" s="17" t="s">
        <v>27</v>
      </c>
    </row>
    <row r="29" spans="2:6" x14ac:dyDescent="0.25">
      <c r="B29" s="65" t="s">
        <v>28</v>
      </c>
      <c r="C29" s="65"/>
      <c r="D29" s="65"/>
      <c r="E29" s="65"/>
      <c r="F29" s="65"/>
    </row>
    <row r="30" spans="2:6" x14ac:dyDescent="0.25">
      <c r="F30" s="13" t="s">
        <v>29</v>
      </c>
    </row>
    <row r="31" spans="2:6" x14ac:dyDescent="0.25">
      <c r="B31" s="11" t="s">
        <v>30</v>
      </c>
      <c r="C31" s="11" t="s">
        <v>31</v>
      </c>
      <c r="D31" s="11" t="s">
        <v>32</v>
      </c>
      <c r="E31" s="11" t="s">
        <v>26</v>
      </c>
      <c r="F31" s="11" t="s">
        <v>33</v>
      </c>
    </row>
    <row r="32" spans="2:6" x14ac:dyDescent="0.25">
      <c r="B32" s="12">
        <f>C32*12</f>
        <v>16800</v>
      </c>
      <c r="C32" s="12">
        <f>+E32*D32</f>
        <v>1400</v>
      </c>
      <c r="D32" s="12">
        <v>20</v>
      </c>
      <c r="E32" s="14">
        <v>70</v>
      </c>
      <c r="F32" s="15"/>
    </row>
    <row r="33" spans="2:6" x14ac:dyDescent="0.25">
      <c r="B33" s="12">
        <f>C33*12</f>
        <v>57600</v>
      </c>
      <c r="C33" s="12">
        <f>+E33*D33</f>
        <v>4800</v>
      </c>
      <c r="D33" s="12">
        <v>60</v>
      </c>
      <c r="E33" s="14">
        <v>80</v>
      </c>
      <c r="F33" s="15"/>
    </row>
    <row r="34" spans="2:6" x14ac:dyDescent="0.25">
      <c r="B34" s="12">
        <f>C34*12</f>
        <v>60000</v>
      </c>
      <c r="C34" s="12">
        <f>+E34*D34</f>
        <v>5000</v>
      </c>
      <c r="D34" s="12">
        <v>100</v>
      </c>
      <c r="E34" s="14">
        <v>50</v>
      </c>
      <c r="F34" s="15"/>
    </row>
    <row r="35" spans="2:6" x14ac:dyDescent="0.25">
      <c r="B35" s="16">
        <f>SUM(B32:B34)</f>
        <v>134400</v>
      </c>
      <c r="C35" s="16">
        <f>SUM(C32:C34)</f>
        <v>11200</v>
      </c>
      <c r="D35" s="17"/>
      <c r="E35" s="17"/>
      <c r="F35" s="17" t="s">
        <v>34</v>
      </c>
    </row>
    <row r="37" spans="2:6" x14ac:dyDescent="0.25">
      <c r="F37" s="13" t="s">
        <v>35</v>
      </c>
    </row>
    <row r="38" spans="2:6" x14ac:dyDescent="0.25">
      <c r="B38" s="11" t="s">
        <v>36</v>
      </c>
      <c r="C38" s="11" t="s">
        <v>37</v>
      </c>
      <c r="D38" s="11" t="s">
        <v>38</v>
      </c>
      <c r="E38" s="11" t="s">
        <v>39</v>
      </c>
      <c r="F38" s="11" t="s">
        <v>40</v>
      </c>
    </row>
    <row r="39" spans="2:6" x14ac:dyDescent="0.25">
      <c r="B39" s="12">
        <f>C39*12</f>
        <v>36000</v>
      </c>
      <c r="C39" s="12">
        <f>+D39*E39</f>
        <v>3000</v>
      </c>
      <c r="D39" s="12">
        <v>3000</v>
      </c>
      <c r="E39" s="39">
        <v>1</v>
      </c>
      <c r="F39" s="15" t="s">
        <v>41</v>
      </c>
    </row>
    <row r="40" spans="2:6" x14ac:dyDescent="0.25">
      <c r="B40" s="12">
        <f>C40*12</f>
        <v>30000</v>
      </c>
      <c r="C40" s="12">
        <f>+D40*E40</f>
        <v>2500</v>
      </c>
      <c r="D40" s="12">
        <v>2500</v>
      </c>
      <c r="E40" s="39">
        <v>1</v>
      </c>
      <c r="F40" s="15" t="s">
        <v>42</v>
      </c>
    </row>
    <row r="41" spans="2:6" x14ac:dyDescent="0.25">
      <c r="B41" s="16">
        <f>SUM(B39:B40)</f>
        <v>66000</v>
      </c>
      <c r="C41" s="16">
        <f>SUM(C39:C40)</f>
        <v>5500</v>
      </c>
      <c r="D41" s="17"/>
      <c r="E41" s="17"/>
      <c r="F41" s="17" t="s">
        <v>34</v>
      </c>
    </row>
    <row r="43" spans="2:6" x14ac:dyDescent="0.25">
      <c r="F43" s="13" t="s">
        <v>43</v>
      </c>
    </row>
    <row r="44" spans="2:6" x14ac:dyDescent="0.25">
      <c r="B44" s="66" t="s">
        <v>44</v>
      </c>
      <c r="C44" s="66"/>
      <c r="D44" s="11" t="s">
        <v>45</v>
      </c>
      <c r="E44" s="11" t="s">
        <v>46</v>
      </c>
      <c r="F44" s="11" t="s">
        <v>47</v>
      </c>
    </row>
    <row r="45" spans="2:6" x14ac:dyDescent="0.25">
      <c r="B45" s="50"/>
      <c r="C45" s="51"/>
      <c r="D45" s="12">
        <v>6000</v>
      </c>
      <c r="E45" s="12">
        <f>+D45*12</f>
        <v>72000</v>
      </c>
      <c r="F45" s="15" t="s">
        <v>48</v>
      </c>
    </row>
    <row r="46" spans="2:6" x14ac:dyDescent="0.25">
      <c r="B46" s="67"/>
      <c r="C46" s="68"/>
      <c r="D46" s="18">
        <f>SUM(D45)</f>
        <v>6000</v>
      </c>
      <c r="E46" s="18">
        <f>SUM(E45)</f>
        <v>72000</v>
      </c>
      <c r="F46" s="17" t="s">
        <v>34</v>
      </c>
    </row>
    <row r="48" spans="2:6" x14ac:dyDescent="0.25">
      <c r="F48" s="13" t="s">
        <v>49</v>
      </c>
    </row>
    <row r="49" spans="2:6" x14ac:dyDescent="0.25">
      <c r="B49" s="66" t="s">
        <v>44</v>
      </c>
      <c r="C49" s="66"/>
      <c r="D49" s="11" t="s">
        <v>50</v>
      </c>
      <c r="E49" s="11" t="s">
        <v>51</v>
      </c>
      <c r="F49" s="11" t="s">
        <v>33</v>
      </c>
    </row>
    <row r="50" spans="2:6" x14ac:dyDescent="0.25">
      <c r="B50" s="50"/>
      <c r="C50" s="51"/>
      <c r="D50" s="12">
        <v>200</v>
      </c>
      <c r="E50" s="12">
        <f>+D50*12</f>
        <v>2400</v>
      </c>
      <c r="F50" s="15" t="s">
        <v>52</v>
      </c>
    </row>
    <row r="51" spans="2:6" x14ac:dyDescent="0.25">
      <c r="B51" s="50"/>
      <c r="C51" s="51"/>
      <c r="D51" s="12">
        <v>700</v>
      </c>
      <c r="E51" s="12">
        <f>+D51*12</f>
        <v>8400</v>
      </c>
      <c r="F51" s="15" t="s">
        <v>53</v>
      </c>
    </row>
    <row r="52" spans="2:6" x14ac:dyDescent="0.25">
      <c r="B52" s="50"/>
      <c r="C52" s="51"/>
      <c r="D52" s="12">
        <v>900</v>
      </c>
      <c r="E52" s="12">
        <f>+D52*12</f>
        <v>10800</v>
      </c>
      <c r="F52" s="15" t="s">
        <v>54</v>
      </c>
    </row>
    <row r="53" spans="2:6" x14ac:dyDescent="0.25">
      <c r="B53" s="50"/>
      <c r="C53" s="51"/>
      <c r="D53" s="12">
        <v>500</v>
      </c>
      <c r="E53" s="12">
        <f>+D53*12</f>
        <v>6000</v>
      </c>
      <c r="F53" s="15" t="s">
        <v>55</v>
      </c>
    </row>
    <row r="54" spans="2:6" x14ac:dyDescent="0.25">
      <c r="B54" s="67"/>
      <c r="C54" s="68"/>
      <c r="D54" s="18">
        <f>SUM(D50:D53)</f>
        <v>2300</v>
      </c>
      <c r="E54" s="18">
        <f>SUM(E50:E53)</f>
        <v>27600</v>
      </c>
      <c r="F54" s="17" t="s">
        <v>34</v>
      </c>
    </row>
    <row r="56" spans="2:6" x14ac:dyDescent="0.25">
      <c r="F56" s="13" t="s">
        <v>56</v>
      </c>
    </row>
    <row r="57" spans="2:6" x14ac:dyDescent="0.25">
      <c r="B57" s="66" t="s">
        <v>44</v>
      </c>
      <c r="C57" s="66"/>
      <c r="D57" s="11" t="s">
        <v>50</v>
      </c>
      <c r="E57" s="11" t="s">
        <v>51</v>
      </c>
      <c r="F57" s="11" t="s">
        <v>33</v>
      </c>
    </row>
    <row r="58" spans="2:6" x14ac:dyDescent="0.25">
      <c r="B58" s="50"/>
      <c r="C58" s="51"/>
      <c r="D58" s="12">
        <v>400</v>
      </c>
      <c r="E58" s="12">
        <f>D58*12</f>
        <v>4800</v>
      </c>
      <c r="F58" s="15" t="s">
        <v>57</v>
      </c>
    </row>
    <row r="59" spans="2:6" x14ac:dyDescent="0.25">
      <c r="B59" s="50"/>
      <c r="C59" s="51"/>
      <c r="D59" s="12">
        <v>1000</v>
      </c>
      <c r="E59" s="12">
        <f>D59*12</f>
        <v>12000</v>
      </c>
      <c r="F59" s="15" t="s">
        <v>58</v>
      </c>
    </row>
    <row r="60" spans="2:6" x14ac:dyDescent="0.25">
      <c r="B60" s="50"/>
      <c r="C60" s="51"/>
      <c r="D60" s="19"/>
      <c r="E60" s="19"/>
      <c r="F60" s="15"/>
    </row>
    <row r="61" spans="2:6" x14ac:dyDescent="0.25">
      <c r="B61" s="67"/>
      <c r="C61" s="68"/>
      <c r="D61" s="16">
        <f>SUM(D58:D60)</f>
        <v>1400</v>
      </c>
      <c r="E61" s="16">
        <f>SUM(E58:E60)</f>
        <v>16800</v>
      </c>
      <c r="F61" s="17" t="s">
        <v>34</v>
      </c>
    </row>
    <row r="63" spans="2:6" x14ac:dyDescent="0.25">
      <c r="F63" s="13" t="s">
        <v>59</v>
      </c>
    </row>
    <row r="64" spans="2:6" x14ac:dyDescent="0.25">
      <c r="B64" s="66" t="s">
        <v>44</v>
      </c>
      <c r="C64" s="66"/>
      <c r="D64" s="11" t="s">
        <v>50</v>
      </c>
      <c r="E64" s="11" t="s">
        <v>51</v>
      </c>
      <c r="F64" s="11" t="s">
        <v>33</v>
      </c>
    </row>
    <row r="65" spans="2:6" x14ac:dyDescent="0.25">
      <c r="B65" s="50"/>
      <c r="C65" s="51"/>
      <c r="D65" s="12">
        <v>300</v>
      </c>
      <c r="E65" s="12">
        <f>+D65*12</f>
        <v>3600</v>
      </c>
      <c r="F65" s="15" t="s">
        <v>60</v>
      </c>
    </row>
    <row r="66" spans="2:6" x14ac:dyDescent="0.25">
      <c r="B66" s="67"/>
      <c r="C66" s="68"/>
      <c r="D66" s="18">
        <f>SUM(D65)</f>
        <v>300</v>
      </c>
      <c r="E66" s="18">
        <f>SUM(E65)</f>
        <v>3600</v>
      </c>
      <c r="F66" s="17" t="s">
        <v>34</v>
      </c>
    </row>
    <row r="68" spans="2:6" x14ac:dyDescent="0.25">
      <c r="D68" s="69" t="s">
        <v>61</v>
      </c>
      <c r="E68" s="69"/>
      <c r="F68" s="69"/>
    </row>
    <row r="69" spans="2:6" x14ac:dyDescent="0.25">
      <c r="D69" s="11" t="s">
        <v>50</v>
      </c>
      <c r="E69" s="11" t="s">
        <v>51</v>
      </c>
      <c r="F69" s="11" t="s">
        <v>33</v>
      </c>
    </row>
    <row r="70" spans="2:6" x14ac:dyDescent="0.25">
      <c r="D70" s="12">
        <f>+C35</f>
        <v>11200</v>
      </c>
      <c r="E70" s="20">
        <f>+B35</f>
        <v>134400</v>
      </c>
      <c r="F70" s="15" t="s">
        <v>29</v>
      </c>
    </row>
    <row r="71" spans="2:6" x14ac:dyDescent="0.25">
      <c r="D71" s="12">
        <f>+C41</f>
        <v>5500</v>
      </c>
      <c r="E71" s="20">
        <f>+B41</f>
        <v>66000</v>
      </c>
      <c r="F71" s="15" t="s">
        <v>35</v>
      </c>
    </row>
    <row r="72" spans="2:6" x14ac:dyDescent="0.25">
      <c r="D72" s="12">
        <f>+D46</f>
        <v>6000</v>
      </c>
      <c r="E72" s="20">
        <f>+E46</f>
        <v>72000</v>
      </c>
      <c r="F72" s="15" t="s">
        <v>43</v>
      </c>
    </row>
    <row r="73" spans="2:6" x14ac:dyDescent="0.25">
      <c r="D73" s="12">
        <f>+D54</f>
        <v>2300</v>
      </c>
      <c r="E73" s="20">
        <f>+E54</f>
        <v>27600</v>
      </c>
      <c r="F73" s="15" t="s">
        <v>49</v>
      </c>
    </row>
    <row r="74" spans="2:6" x14ac:dyDescent="0.25">
      <c r="D74" s="12">
        <f>+D61</f>
        <v>1400</v>
      </c>
      <c r="E74" s="20">
        <f>+E61</f>
        <v>16800</v>
      </c>
      <c r="F74" s="15" t="s">
        <v>56</v>
      </c>
    </row>
    <row r="75" spans="2:6" x14ac:dyDescent="0.25">
      <c r="D75" s="12">
        <f>+D66</f>
        <v>300</v>
      </c>
      <c r="E75" s="20">
        <f>+E66</f>
        <v>3600</v>
      </c>
      <c r="F75" s="15" t="s">
        <v>62</v>
      </c>
    </row>
    <row r="76" spans="2:6" x14ac:dyDescent="0.25">
      <c r="D76" s="18">
        <f>SUM(D70:D75)</f>
        <v>26700</v>
      </c>
      <c r="E76" s="21">
        <f>SUM(E70:E75)</f>
        <v>320400</v>
      </c>
      <c r="F76" s="17" t="s">
        <v>63</v>
      </c>
    </row>
    <row r="77" spans="2:6" x14ac:dyDescent="0.25">
      <c r="D77" s="12">
        <f>+D76*5%</f>
        <v>1335</v>
      </c>
      <c r="E77" s="12">
        <f>+E76*5%</f>
        <v>16020</v>
      </c>
      <c r="F77" s="15" t="s">
        <v>64</v>
      </c>
    </row>
    <row r="78" spans="2:6" x14ac:dyDescent="0.25">
      <c r="D78" s="18">
        <f>+D76+D77</f>
        <v>28035</v>
      </c>
      <c r="E78" s="18">
        <f>+E76+E77</f>
        <v>336420</v>
      </c>
      <c r="F78" s="17" t="s">
        <v>65</v>
      </c>
    </row>
    <row r="80" spans="2:6" x14ac:dyDescent="0.25">
      <c r="D80" s="64" t="s">
        <v>66</v>
      </c>
      <c r="E80" s="64"/>
      <c r="F80" s="64"/>
    </row>
    <row r="82" spans="1:6" x14ac:dyDescent="0.25">
      <c r="D82" s="70" t="s">
        <v>67</v>
      </c>
      <c r="E82" s="70"/>
      <c r="F82" s="70"/>
    </row>
    <row r="83" spans="1:6" x14ac:dyDescent="0.25">
      <c r="D83" s="11" t="s">
        <v>68</v>
      </c>
      <c r="E83" s="11" t="s">
        <v>69</v>
      </c>
      <c r="F83" s="11" t="s">
        <v>33</v>
      </c>
    </row>
    <row r="84" spans="1:6" x14ac:dyDescent="0.25">
      <c r="D84" s="15" t="s">
        <v>70</v>
      </c>
      <c r="E84" s="20">
        <f>$E$78*5%</f>
        <v>16821</v>
      </c>
      <c r="F84" s="15" t="s">
        <v>71</v>
      </c>
    </row>
    <row r="85" spans="1:6" x14ac:dyDescent="0.25">
      <c r="D85" s="15" t="s">
        <v>72</v>
      </c>
      <c r="E85" s="20">
        <f>$E$78*5%</f>
        <v>16821</v>
      </c>
      <c r="F85" s="15" t="s">
        <v>73</v>
      </c>
    </row>
    <row r="86" spans="1:6" x14ac:dyDescent="0.25">
      <c r="D86" s="15" t="s">
        <v>74</v>
      </c>
      <c r="E86" s="20">
        <f>$E$78*10%</f>
        <v>33642</v>
      </c>
      <c r="F86" s="15" t="s">
        <v>75</v>
      </c>
    </row>
    <row r="87" spans="1:6" x14ac:dyDescent="0.25">
      <c r="D87" s="17"/>
      <c r="E87" s="18">
        <f>SUM(E84:E86)</f>
        <v>67284</v>
      </c>
      <c r="F87" s="17" t="s">
        <v>34</v>
      </c>
    </row>
    <row r="89" spans="1:6" x14ac:dyDescent="0.25">
      <c r="C89" s="65" t="s">
        <v>76</v>
      </c>
      <c r="D89" s="65"/>
      <c r="E89" s="65"/>
      <c r="F89" s="65"/>
    </row>
    <row r="90" spans="1:6" x14ac:dyDescent="0.25">
      <c r="F90" s="13" t="s">
        <v>77</v>
      </c>
    </row>
    <row r="91" spans="1:6" x14ac:dyDescent="0.25">
      <c r="C91" s="11" t="s">
        <v>78</v>
      </c>
      <c r="D91" s="11" t="s">
        <v>79</v>
      </c>
      <c r="E91" s="11" t="s">
        <v>69</v>
      </c>
      <c r="F91" s="11" t="s">
        <v>33</v>
      </c>
    </row>
    <row r="92" spans="1:6" x14ac:dyDescent="0.25">
      <c r="C92" s="12">
        <f>E92*D92</f>
        <v>3000</v>
      </c>
      <c r="D92" s="22">
        <v>0.1</v>
      </c>
      <c r="E92" s="12">
        <v>30000</v>
      </c>
      <c r="F92" s="15" t="s">
        <v>80</v>
      </c>
    </row>
    <row r="93" spans="1:6" x14ac:dyDescent="0.25">
      <c r="C93" s="18">
        <f>+SUM(C92)</f>
        <v>3000</v>
      </c>
      <c r="D93" s="18"/>
      <c r="E93" s="18">
        <f>+SUM(E92)</f>
        <v>30000</v>
      </c>
      <c r="F93" s="17" t="s">
        <v>63</v>
      </c>
    </row>
    <row r="95" spans="1:6" x14ac:dyDescent="0.25">
      <c r="F95" s="13" t="s">
        <v>3</v>
      </c>
    </row>
    <row r="96" spans="1:6" x14ac:dyDescent="0.25">
      <c r="A96" s="11" t="s">
        <v>81</v>
      </c>
      <c r="B96" s="11" t="s">
        <v>82</v>
      </c>
      <c r="C96" s="11" t="s">
        <v>83</v>
      </c>
      <c r="D96" s="11" t="s">
        <v>84</v>
      </c>
      <c r="E96" s="11" t="s">
        <v>85</v>
      </c>
      <c r="F96" s="11" t="s">
        <v>33</v>
      </c>
    </row>
    <row r="97" spans="1:6" x14ac:dyDescent="0.25">
      <c r="A97" s="12">
        <f>+C97*B97</f>
        <v>10000</v>
      </c>
      <c r="B97" s="23">
        <v>0.1</v>
      </c>
      <c r="C97" s="12">
        <f>+D97*E97</f>
        <v>100000</v>
      </c>
      <c r="D97" s="12">
        <v>100000</v>
      </c>
      <c r="E97" s="14">
        <v>1</v>
      </c>
      <c r="F97" s="15"/>
    </row>
    <row r="98" spans="1:6" x14ac:dyDescent="0.25">
      <c r="A98" s="12">
        <f>+C98*B98</f>
        <v>5000</v>
      </c>
      <c r="B98" s="23">
        <v>0.1</v>
      </c>
      <c r="C98" s="12">
        <f>+D98*E98</f>
        <v>50000</v>
      </c>
      <c r="D98" s="12">
        <v>50000</v>
      </c>
      <c r="E98" s="14">
        <v>1</v>
      </c>
      <c r="F98" s="15"/>
    </row>
    <row r="99" spans="1:6" x14ac:dyDescent="0.25">
      <c r="A99" s="12">
        <f>+C99*B99</f>
        <v>2000</v>
      </c>
      <c r="B99" s="23">
        <v>0.1</v>
      </c>
      <c r="C99" s="12">
        <f>+D99*E99</f>
        <v>20000</v>
      </c>
      <c r="D99" s="12">
        <v>20000</v>
      </c>
      <c r="E99" s="14">
        <v>1</v>
      </c>
      <c r="F99" s="15"/>
    </row>
    <row r="100" spans="1:6" x14ac:dyDescent="0.25">
      <c r="A100" s="18">
        <f>SUM(A97:A99)</f>
        <v>17000</v>
      </c>
      <c r="B100" s="18"/>
      <c r="C100" s="18">
        <f>SUM(C97:C99)</f>
        <v>170000</v>
      </c>
      <c r="D100" s="18"/>
      <c r="E100" s="24"/>
      <c r="F100" s="17" t="s">
        <v>34</v>
      </c>
    </row>
    <row r="102" spans="1:6" x14ac:dyDescent="0.25">
      <c r="F102" s="13" t="s">
        <v>86</v>
      </c>
    </row>
    <row r="103" spans="1:6" x14ac:dyDescent="0.25">
      <c r="A103" s="11" t="s">
        <v>81</v>
      </c>
      <c r="B103" s="11" t="s">
        <v>82</v>
      </c>
      <c r="C103" s="11" t="s">
        <v>83</v>
      </c>
      <c r="D103" s="11" t="s">
        <v>84</v>
      </c>
      <c r="E103" s="11" t="s">
        <v>85</v>
      </c>
      <c r="F103" s="11" t="s">
        <v>33</v>
      </c>
    </row>
    <row r="104" spans="1:6" x14ac:dyDescent="0.25">
      <c r="A104" s="12">
        <f>+C104*B104</f>
        <v>5000</v>
      </c>
      <c r="B104" s="23">
        <v>0.1</v>
      </c>
      <c r="C104" s="12">
        <f>+D104*E104</f>
        <v>50000</v>
      </c>
      <c r="D104" s="12">
        <v>50000</v>
      </c>
      <c r="E104" s="14">
        <v>1</v>
      </c>
      <c r="F104" s="15"/>
    </row>
    <row r="105" spans="1:6" x14ac:dyDescent="0.25">
      <c r="A105" s="18">
        <f>SUM(A104:A104)</f>
        <v>5000</v>
      </c>
      <c r="B105" s="18"/>
      <c r="C105" s="18">
        <f>SUM(C104:C104)</f>
        <v>50000</v>
      </c>
      <c r="D105" s="18"/>
      <c r="E105" s="24"/>
      <c r="F105" s="17" t="s">
        <v>34</v>
      </c>
    </row>
    <row r="107" spans="1:6" x14ac:dyDescent="0.25">
      <c r="C107" s="69" t="s">
        <v>76</v>
      </c>
      <c r="D107" s="69"/>
      <c r="E107" s="69"/>
      <c r="F107" s="69"/>
    </row>
    <row r="108" spans="1:6" x14ac:dyDescent="0.25">
      <c r="C108" s="11" t="s">
        <v>87</v>
      </c>
      <c r="D108" s="11" t="s">
        <v>88</v>
      </c>
      <c r="E108" s="11" t="s">
        <v>69</v>
      </c>
      <c r="F108" s="11" t="s">
        <v>33</v>
      </c>
    </row>
    <row r="109" spans="1:6" x14ac:dyDescent="0.25">
      <c r="C109" s="12">
        <f>+D109/12</f>
        <v>250</v>
      </c>
      <c r="D109" s="20">
        <f>+C92</f>
        <v>3000</v>
      </c>
      <c r="E109" s="20">
        <f>+E93</f>
        <v>30000</v>
      </c>
      <c r="F109" s="15" t="s">
        <v>77</v>
      </c>
    </row>
    <row r="110" spans="1:6" x14ac:dyDescent="0.25">
      <c r="C110" s="12">
        <f>+D110/12</f>
        <v>1416.6666666666667</v>
      </c>
      <c r="D110" s="20">
        <f>+A100</f>
        <v>17000</v>
      </c>
      <c r="E110" s="20">
        <f>+C100</f>
        <v>170000</v>
      </c>
      <c r="F110" s="15" t="s">
        <v>3</v>
      </c>
    </row>
    <row r="111" spans="1:6" x14ac:dyDescent="0.25">
      <c r="C111" s="12">
        <f>+D111/12</f>
        <v>416.66666666666669</v>
      </c>
      <c r="D111" s="20">
        <f>+A105</f>
        <v>5000</v>
      </c>
      <c r="E111" s="20">
        <f>+C105</f>
        <v>50000</v>
      </c>
      <c r="F111" s="15" t="s">
        <v>86</v>
      </c>
    </row>
    <row r="112" spans="1:6" x14ac:dyDescent="0.25">
      <c r="C112" s="18">
        <f>SUM(C109:C111)</f>
        <v>2083.3333333333335</v>
      </c>
      <c r="D112" s="18">
        <f>SUM(D109:D111)</f>
        <v>25000</v>
      </c>
      <c r="E112" s="18">
        <f>SUM(E109:E111)</f>
        <v>250000</v>
      </c>
      <c r="F112" s="17" t="s">
        <v>34</v>
      </c>
    </row>
    <row r="114" spans="5:6" x14ac:dyDescent="0.25">
      <c r="E114" s="70" t="s">
        <v>17</v>
      </c>
      <c r="F114" s="70"/>
    </row>
    <row r="115" spans="5:6" x14ac:dyDescent="0.25">
      <c r="E115" s="11" t="s">
        <v>69</v>
      </c>
      <c r="F115" s="11" t="s">
        <v>33</v>
      </c>
    </row>
    <row r="116" spans="5:6" x14ac:dyDescent="0.25">
      <c r="E116" s="12">
        <v>5000</v>
      </c>
      <c r="F116" s="15" t="s">
        <v>89</v>
      </c>
    </row>
    <row r="117" spans="5:6" x14ac:dyDescent="0.25">
      <c r="E117" s="18">
        <f>+E116</f>
        <v>5000</v>
      </c>
      <c r="F117" s="17" t="s">
        <v>34</v>
      </c>
    </row>
    <row r="118" spans="5:6" x14ac:dyDescent="0.25">
      <c r="E118" s="6"/>
    </row>
    <row r="119" spans="5:6" x14ac:dyDescent="0.25">
      <c r="F119" s="1" t="s">
        <v>90</v>
      </c>
    </row>
    <row r="120" spans="5:6" x14ac:dyDescent="0.25">
      <c r="E120" s="11" t="s">
        <v>91</v>
      </c>
      <c r="F120" s="11" t="s">
        <v>33</v>
      </c>
    </row>
    <row r="121" spans="5:6" x14ac:dyDescent="0.25">
      <c r="E121" s="20">
        <f>+E87</f>
        <v>67284</v>
      </c>
      <c r="F121" s="15" t="s">
        <v>92</v>
      </c>
    </row>
    <row r="122" spans="5:6" x14ac:dyDescent="0.25">
      <c r="E122" s="20">
        <f>+E112</f>
        <v>250000</v>
      </c>
      <c r="F122" s="15" t="s">
        <v>93</v>
      </c>
    </row>
    <row r="123" spans="5:6" x14ac:dyDescent="0.25">
      <c r="E123" s="20">
        <f>+E117</f>
        <v>5000</v>
      </c>
      <c r="F123" s="15" t="s">
        <v>94</v>
      </c>
    </row>
    <row r="124" spans="5:6" x14ac:dyDescent="0.25">
      <c r="E124" s="18">
        <f>SUM(E121:E123)</f>
        <v>322284</v>
      </c>
      <c r="F124" s="17" t="s">
        <v>63</v>
      </c>
    </row>
    <row r="126" spans="5:6" x14ac:dyDescent="0.25">
      <c r="F126" s="1" t="s">
        <v>95</v>
      </c>
    </row>
    <row r="127" spans="5:6" x14ac:dyDescent="0.25">
      <c r="E127" s="11" t="s">
        <v>91</v>
      </c>
      <c r="F127" s="11" t="s">
        <v>33</v>
      </c>
    </row>
    <row r="128" spans="5:6" x14ac:dyDescent="0.25">
      <c r="E128" s="12">
        <v>22284</v>
      </c>
      <c r="F128" s="15" t="s">
        <v>96</v>
      </c>
    </row>
    <row r="129" spans="1:6" x14ac:dyDescent="0.25">
      <c r="E129" s="12">
        <v>300000</v>
      </c>
      <c r="F129" s="15" t="s">
        <v>97</v>
      </c>
    </row>
    <row r="130" spans="1:6" x14ac:dyDescent="0.25">
      <c r="E130" s="18">
        <f>SUM(E128:E129)</f>
        <v>322284</v>
      </c>
      <c r="F130" s="17" t="s">
        <v>63</v>
      </c>
    </row>
    <row r="132" spans="1:6" x14ac:dyDescent="0.25">
      <c r="A132" s="25"/>
    </row>
  </sheetData>
  <mergeCells count="35">
    <mergeCell ref="D80:F80"/>
    <mergeCell ref="D82:F82"/>
    <mergeCell ref="C89:F89"/>
    <mergeCell ref="C107:F107"/>
    <mergeCell ref="E114:F114"/>
    <mergeCell ref="D68:F68"/>
    <mergeCell ref="B52:C52"/>
    <mergeCell ref="B53:C53"/>
    <mergeCell ref="B54:C54"/>
    <mergeCell ref="B57:C57"/>
    <mergeCell ref="B58:C58"/>
    <mergeCell ref="B59:C59"/>
    <mergeCell ref="B60:C60"/>
    <mergeCell ref="B61:C61"/>
    <mergeCell ref="B64:C64"/>
    <mergeCell ref="B65:C65"/>
    <mergeCell ref="B66:C66"/>
    <mergeCell ref="B51:C51"/>
    <mergeCell ref="C13:E13"/>
    <mergeCell ref="C14:E14"/>
    <mergeCell ref="C19:E19"/>
    <mergeCell ref="C20:E20"/>
    <mergeCell ref="B22:F22"/>
    <mergeCell ref="B29:F29"/>
    <mergeCell ref="B44:C44"/>
    <mergeCell ref="B45:C45"/>
    <mergeCell ref="B46:C46"/>
    <mergeCell ref="B49:C49"/>
    <mergeCell ref="B50:C50"/>
    <mergeCell ref="C10:E10"/>
    <mergeCell ref="C2:F2"/>
    <mergeCell ref="C6:E6"/>
    <mergeCell ref="C7:E7"/>
    <mergeCell ref="C8:E8"/>
    <mergeCell ref="C9:E9"/>
  </mergeCells>
  <hyperlinks>
    <hyperlink ref="E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rightToLeft="1" zoomScale="93" zoomScaleNormal="93" workbookViewId="0">
      <selection activeCell="A19" sqref="A19"/>
    </sheetView>
  </sheetViews>
  <sheetFormatPr defaultColWidth="11.42578125" defaultRowHeight="15" x14ac:dyDescent="0.25"/>
  <cols>
    <col min="1" max="1" width="41.5703125" customWidth="1"/>
    <col min="2" max="6" width="13.5703125" bestFit="1" customWidth="1"/>
    <col min="7" max="14" width="12.85546875" bestFit="1" customWidth="1"/>
  </cols>
  <sheetData>
    <row r="1" spans="1:36" ht="23.25" x14ac:dyDescent="0.35">
      <c r="A1" s="26" t="s">
        <v>98</v>
      </c>
    </row>
    <row r="2" spans="1:36" ht="30" x14ac:dyDescent="0.25">
      <c r="A2" s="11" t="s">
        <v>100</v>
      </c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7" t="s">
        <v>99</v>
      </c>
    </row>
    <row r="3" spans="1:36" x14ac:dyDescent="0.25">
      <c r="A3" s="11" t="s">
        <v>101</v>
      </c>
      <c r="B3" s="29">
        <v>0.5</v>
      </c>
      <c r="C3" s="29">
        <v>0.5</v>
      </c>
      <c r="D3" s="29">
        <v>0.55000000000000004</v>
      </c>
      <c r="E3" s="29">
        <v>0.55000000000000004</v>
      </c>
      <c r="F3" s="29">
        <v>0.6</v>
      </c>
      <c r="G3" s="29">
        <v>0.65</v>
      </c>
      <c r="H3" s="29">
        <v>0.65</v>
      </c>
      <c r="I3" s="29">
        <v>0.65</v>
      </c>
      <c r="J3" s="29">
        <v>0.7</v>
      </c>
      <c r="K3" s="29">
        <v>0.7</v>
      </c>
      <c r="L3" s="29">
        <v>0.7</v>
      </c>
      <c r="M3" s="29">
        <v>0.75</v>
      </c>
      <c r="N3" s="15"/>
    </row>
    <row r="4" spans="1:36" x14ac:dyDescent="0.25">
      <c r="A4" s="11" t="s">
        <v>102</v>
      </c>
      <c r="B4" s="19">
        <f>'اساسيات المشروع'!$C$27*B3</f>
        <v>24000</v>
      </c>
      <c r="C4" s="19">
        <f>'اساسيات المشروع'!$C$27*C3</f>
        <v>24000</v>
      </c>
      <c r="D4" s="19">
        <f>'اساسيات المشروع'!$C$27*D3</f>
        <v>26400.000000000004</v>
      </c>
      <c r="E4" s="19">
        <f>'اساسيات المشروع'!$C$27*E3</f>
        <v>26400.000000000004</v>
      </c>
      <c r="F4" s="19">
        <f>'اساسيات المشروع'!$C$27*F3</f>
        <v>28800</v>
      </c>
      <c r="G4" s="19">
        <f>'اساسيات المشروع'!$C$27*G3</f>
        <v>31200</v>
      </c>
      <c r="H4" s="19">
        <f>'اساسيات المشروع'!$C$27*H3</f>
        <v>31200</v>
      </c>
      <c r="I4" s="19">
        <f>'اساسيات المشروع'!$C$27*I3</f>
        <v>31200</v>
      </c>
      <c r="J4" s="19">
        <f>'اساسيات المشروع'!$C$27*J3</f>
        <v>33600</v>
      </c>
      <c r="K4" s="19">
        <f>'اساسيات المشروع'!$C$27*K3</f>
        <v>33600</v>
      </c>
      <c r="L4" s="19">
        <f>'اساسيات المشروع'!$C$27*L3</f>
        <v>33600</v>
      </c>
      <c r="M4" s="19">
        <f>'اساسيات المشروع'!$C$27*M3</f>
        <v>36000</v>
      </c>
      <c r="N4" s="19">
        <f>SUM(B4:M4)</f>
        <v>360000</v>
      </c>
      <c r="AJ4" s="40" t="s">
        <v>140</v>
      </c>
    </row>
    <row r="5" spans="1:36" x14ac:dyDescent="0.25">
      <c r="A5" s="27" t="s">
        <v>103</v>
      </c>
      <c r="B5" s="19">
        <f t="shared" ref="B5:M5" si="0">B4*5%</f>
        <v>1200</v>
      </c>
      <c r="C5" s="19">
        <f t="shared" si="0"/>
        <v>1200</v>
      </c>
      <c r="D5" s="19">
        <f t="shared" si="0"/>
        <v>1320.0000000000002</v>
      </c>
      <c r="E5" s="19">
        <f t="shared" si="0"/>
        <v>1320.0000000000002</v>
      </c>
      <c r="F5" s="19">
        <f t="shared" si="0"/>
        <v>1440</v>
      </c>
      <c r="G5" s="19">
        <f t="shared" si="0"/>
        <v>1560</v>
      </c>
      <c r="H5" s="19">
        <f t="shared" si="0"/>
        <v>1560</v>
      </c>
      <c r="I5" s="19">
        <f t="shared" si="0"/>
        <v>1560</v>
      </c>
      <c r="J5" s="19">
        <f t="shared" si="0"/>
        <v>1680</v>
      </c>
      <c r="K5" s="19">
        <f t="shared" si="0"/>
        <v>1680</v>
      </c>
      <c r="L5" s="19">
        <f t="shared" si="0"/>
        <v>1680</v>
      </c>
      <c r="M5" s="19">
        <f t="shared" si="0"/>
        <v>1800</v>
      </c>
      <c r="N5" s="19">
        <f>SUM(B5:M5)</f>
        <v>18000</v>
      </c>
    </row>
    <row r="6" spans="1:36" x14ac:dyDescent="0.25">
      <c r="A6" s="17" t="s">
        <v>104</v>
      </c>
      <c r="B6" s="30">
        <f t="shared" ref="B6:N6" si="1">+B4-B5</f>
        <v>22800</v>
      </c>
      <c r="C6" s="30">
        <f t="shared" si="1"/>
        <v>22800</v>
      </c>
      <c r="D6" s="30">
        <f t="shared" si="1"/>
        <v>25080.000000000004</v>
      </c>
      <c r="E6" s="30">
        <f t="shared" si="1"/>
        <v>25080.000000000004</v>
      </c>
      <c r="F6" s="30">
        <f t="shared" si="1"/>
        <v>27360</v>
      </c>
      <c r="G6" s="30">
        <f t="shared" si="1"/>
        <v>29640</v>
      </c>
      <c r="H6" s="30">
        <f t="shared" si="1"/>
        <v>29640</v>
      </c>
      <c r="I6" s="30">
        <f t="shared" si="1"/>
        <v>29640</v>
      </c>
      <c r="J6" s="30">
        <f t="shared" si="1"/>
        <v>31920</v>
      </c>
      <c r="K6" s="30">
        <f t="shared" si="1"/>
        <v>31920</v>
      </c>
      <c r="L6" s="30">
        <f t="shared" si="1"/>
        <v>31920</v>
      </c>
      <c r="M6" s="16">
        <f t="shared" si="1"/>
        <v>34200</v>
      </c>
      <c r="N6" s="16">
        <f t="shared" si="1"/>
        <v>342000</v>
      </c>
    </row>
    <row r="7" spans="1:36" x14ac:dyDescent="0.25">
      <c r="A7" s="11" t="s">
        <v>29</v>
      </c>
      <c r="B7" s="19">
        <f>'اساسيات المشروع'!$D$70*B3</f>
        <v>5600</v>
      </c>
      <c r="C7" s="19">
        <f>'اساسيات المشروع'!$D$70*C3</f>
        <v>5600</v>
      </c>
      <c r="D7" s="19">
        <f>'اساسيات المشروع'!$D$70*D3</f>
        <v>6160.0000000000009</v>
      </c>
      <c r="E7" s="19">
        <f>'اساسيات المشروع'!$D$70*E3</f>
        <v>6160.0000000000009</v>
      </c>
      <c r="F7" s="19">
        <f>'اساسيات المشروع'!$D$70*F3</f>
        <v>6720</v>
      </c>
      <c r="G7" s="19">
        <f>'اساسيات المشروع'!$D$70*G3</f>
        <v>7280</v>
      </c>
      <c r="H7" s="19">
        <f>'اساسيات المشروع'!$D$70*H3</f>
        <v>7280</v>
      </c>
      <c r="I7" s="19">
        <f>'اساسيات المشروع'!$D$70*I3</f>
        <v>7280</v>
      </c>
      <c r="J7" s="19">
        <f>'اساسيات المشروع'!$D$70*J3</f>
        <v>7839.9999999999991</v>
      </c>
      <c r="K7" s="19">
        <f>'اساسيات المشروع'!$D$70*K3</f>
        <v>7839.9999999999991</v>
      </c>
      <c r="L7" s="19">
        <f>'اساسيات المشروع'!$D$70*L3</f>
        <v>7839.9999999999991</v>
      </c>
      <c r="M7" s="19">
        <f>'اساسيات المشروع'!$D$70*M3</f>
        <v>8400</v>
      </c>
      <c r="N7" s="19">
        <f>SUM(B7:M7)</f>
        <v>84000</v>
      </c>
    </row>
    <row r="8" spans="1:36" x14ac:dyDescent="0.25">
      <c r="A8" s="11" t="s">
        <v>35</v>
      </c>
      <c r="B8" s="19">
        <f t="shared" ref="B8:M8" si="2">+$N$8/12</f>
        <v>5500</v>
      </c>
      <c r="C8" s="19">
        <f t="shared" si="2"/>
        <v>5500</v>
      </c>
      <c r="D8" s="19">
        <f t="shared" si="2"/>
        <v>5500</v>
      </c>
      <c r="E8" s="19">
        <f t="shared" si="2"/>
        <v>5500</v>
      </c>
      <c r="F8" s="19">
        <f t="shared" si="2"/>
        <v>5500</v>
      </c>
      <c r="G8" s="19">
        <f t="shared" si="2"/>
        <v>5500</v>
      </c>
      <c r="H8" s="19">
        <f t="shared" si="2"/>
        <v>5500</v>
      </c>
      <c r="I8" s="19">
        <f t="shared" si="2"/>
        <v>5500</v>
      </c>
      <c r="J8" s="19">
        <f t="shared" si="2"/>
        <v>5500</v>
      </c>
      <c r="K8" s="19">
        <f t="shared" si="2"/>
        <v>5500</v>
      </c>
      <c r="L8" s="19">
        <f t="shared" si="2"/>
        <v>5500</v>
      </c>
      <c r="M8" s="19">
        <f t="shared" si="2"/>
        <v>5500</v>
      </c>
      <c r="N8" s="19">
        <v>66000</v>
      </c>
    </row>
    <row r="9" spans="1:36" x14ac:dyDescent="0.25">
      <c r="A9" s="11" t="s">
        <v>43</v>
      </c>
      <c r="B9" s="19">
        <f t="shared" ref="B9:M9" si="3">+$N$9/12</f>
        <v>6000</v>
      </c>
      <c r="C9" s="19">
        <f t="shared" si="3"/>
        <v>6000</v>
      </c>
      <c r="D9" s="19">
        <f t="shared" si="3"/>
        <v>6000</v>
      </c>
      <c r="E9" s="19">
        <f t="shared" si="3"/>
        <v>6000</v>
      </c>
      <c r="F9" s="19">
        <f t="shared" si="3"/>
        <v>6000</v>
      </c>
      <c r="G9" s="19">
        <f t="shared" si="3"/>
        <v>6000</v>
      </c>
      <c r="H9" s="19">
        <f t="shared" si="3"/>
        <v>6000</v>
      </c>
      <c r="I9" s="19">
        <f t="shared" si="3"/>
        <v>6000</v>
      </c>
      <c r="J9" s="19">
        <f t="shared" si="3"/>
        <v>6000</v>
      </c>
      <c r="K9" s="19">
        <f t="shared" si="3"/>
        <v>6000</v>
      </c>
      <c r="L9" s="19">
        <f t="shared" si="3"/>
        <v>6000</v>
      </c>
      <c r="M9" s="19">
        <f t="shared" si="3"/>
        <v>6000</v>
      </c>
      <c r="N9" s="19">
        <v>72000</v>
      </c>
    </row>
    <row r="10" spans="1:36" x14ac:dyDescent="0.25">
      <c r="A10" s="11" t="s">
        <v>49</v>
      </c>
      <c r="B10" s="19">
        <f t="shared" ref="B10:M10" si="4">+$N$10/12</f>
        <v>2300</v>
      </c>
      <c r="C10" s="19">
        <f t="shared" si="4"/>
        <v>2300</v>
      </c>
      <c r="D10" s="19">
        <f t="shared" si="4"/>
        <v>2300</v>
      </c>
      <c r="E10" s="19">
        <f t="shared" si="4"/>
        <v>2300</v>
      </c>
      <c r="F10" s="19">
        <f t="shared" si="4"/>
        <v>2300</v>
      </c>
      <c r="G10" s="19">
        <f t="shared" si="4"/>
        <v>2300</v>
      </c>
      <c r="H10" s="19">
        <f t="shared" si="4"/>
        <v>2300</v>
      </c>
      <c r="I10" s="19">
        <f t="shared" si="4"/>
        <v>2300</v>
      </c>
      <c r="J10" s="19">
        <f t="shared" si="4"/>
        <v>2300</v>
      </c>
      <c r="K10" s="19">
        <f t="shared" si="4"/>
        <v>2300</v>
      </c>
      <c r="L10" s="19">
        <f t="shared" si="4"/>
        <v>2300</v>
      </c>
      <c r="M10" s="19">
        <f t="shared" si="4"/>
        <v>2300</v>
      </c>
      <c r="N10" s="19">
        <v>27600</v>
      </c>
    </row>
    <row r="11" spans="1:36" x14ac:dyDescent="0.25">
      <c r="A11" s="11" t="s">
        <v>56</v>
      </c>
      <c r="B11" s="19">
        <f>'اساسيات المشروع'!$D$74*B3</f>
        <v>700</v>
      </c>
      <c r="C11" s="19">
        <f>'اساسيات المشروع'!$D$74*C3</f>
        <v>700</v>
      </c>
      <c r="D11" s="19">
        <f>'اساسيات المشروع'!$D$74*D3</f>
        <v>770.00000000000011</v>
      </c>
      <c r="E11" s="19">
        <f>'اساسيات المشروع'!$D$74*E3</f>
        <v>770.00000000000011</v>
      </c>
      <c r="F11" s="19">
        <f>'اساسيات المشروع'!$D$74*F3</f>
        <v>840</v>
      </c>
      <c r="G11" s="19">
        <f>'اساسيات المشروع'!$D$74*G3</f>
        <v>910</v>
      </c>
      <c r="H11" s="19">
        <f>'اساسيات المشروع'!$D$74*H3</f>
        <v>910</v>
      </c>
      <c r="I11" s="19">
        <f>'اساسيات المشروع'!$D$74*I3</f>
        <v>910</v>
      </c>
      <c r="J11" s="19">
        <f>'اساسيات المشروع'!$D$74*J3</f>
        <v>979.99999999999989</v>
      </c>
      <c r="K11" s="19">
        <f>'اساسيات المشروع'!$D$74*K3</f>
        <v>979.99999999999989</v>
      </c>
      <c r="L11" s="19">
        <f>'اساسيات المشروع'!$D$74*L3</f>
        <v>979.99999999999989</v>
      </c>
      <c r="M11" s="19">
        <f>'اساسيات المشروع'!$D$74*M3</f>
        <v>1050</v>
      </c>
      <c r="N11" s="19">
        <f>SUM(B11:M11)</f>
        <v>10500</v>
      </c>
    </row>
    <row r="12" spans="1:36" x14ac:dyDescent="0.25">
      <c r="A12" s="11" t="s">
        <v>62</v>
      </c>
      <c r="B12" s="19">
        <f>+'اساسيات المشروع'!$D$75*B3</f>
        <v>150</v>
      </c>
      <c r="C12" s="19">
        <f>+'اساسيات المشروع'!$D$75*C3</f>
        <v>150</v>
      </c>
      <c r="D12" s="19">
        <f>+'اساسيات المشروع'!$D$75*D3</f>
        <v>165</v>
      </c>
      <c r="E12" s="19">
        <f>+'اساسيات المشروع'!$D$75*E3</f>
        <v>165</v>
      </c>
      <c r="F12" s="19">
        <f>+'اساسيات المشروع'!$D$75*F3</f>
        <v>180</v>
      </c>
      <c r="G12" s="19">
        <f>+'اساسيات المشروع'!$D$75*G3</f>
        <v>195</v>
      </c>
      <c r="H12" s="19">
        <f>+'اساسيات المشروع'!$D$75*H3</f>
        <v>195</v>
      </c>
      <c r="I12" s="19">
        <f>+'اساسيات المشروع'!$D$75*I3</f>
        <v>195</v>
      </c>
      <c r="J12" s="19">
        <f>+'اساسيات المشروع'!$D$75*J3</f>
        <v>210</v>
      </c>
      <c r="K12" s="19">
        <f>+'اساسيات المشروع'!$D$75*K3</f>
        <v>210</v>
      </c>
      <c r="L12" s="19">
        <f>+'اساسيات المشروع'!$D$75*L3</f>
        <v>210</v>
      </c>
      <c r="M12" s="19">
        <f>+'اساسيات المشروع'!$D$75*M3</f>
        <v>225</v>
      </c>
      <c r="N12" s="19">
        <f ca="1">SUM(M12:AA12)</f>
        <v>225</v>
      </c>
    </row>
    <row r="13" spans="1:36" x14ac:dyDescent="0.25">
      <c r="A13" s="11" t="s">
        <v>105</v>
      </c>
      <c r="B13" s="19">
        <f t="shared" ref="B13:M13" si="5">+$N$13/12</f>
        <v>2083.3333333333335</v>
      </c>
      <c r="C13" s="19">
        <f t="shared" si="5"/>
        <v>2083.3333333333335</v>
      </c>
      <c r="D13" s="19">
        <f t="shared" si="5"/>
        <v>2083.3333333333335</v>
      </c>
      <c r="E13" s="19">
        <f t="shared" si="5"/>
        <v>2083.3333333333335</v>
      </c>
      <c r="F13" s="19">
        <f t="shared" si="5"/>
        <v>2083.3333333333335</v>
      </c>
      <c r="G13" s="19">
        <f t="shared" si="5"/>
        <v>2083.3333333333335</v>
      </c>
      <c r="H13" s="19">
        <f t="shared" si="5"/>
        <v>2083.3333333333335</v>
      </c>
      <c r="I13" s="19">
        <f t="shared" si="5"/>
        <v>2083.3333333333335</v>
      </c>
      <c r="J13" s="19">
        <f t="shared" si="5"/>
        <v>2083.3333333333335</v>
      </c>
      <c r="K13" s="19">
        <f t="shared" si="5"/>
        <v>2083.3333333333335</v>
      </c>
      <c r="L13" s="19">
        <f t="shared" si="5"/>
        <v>2083.3333333333335</v>
      </c>
      <c r="M13" s="19">
        <f t="shared" si="5"/>
        <v>2083.3333333333335</v>
      </c>
      <c r="N13" s="19">
        <f>+'اساسيات المشروع'!D112</f>
        <v>25000</v>
      </c>
    </row>
    <row r="14" spans="1:36" x14ac:dyDescent="0.25">
      <c r="A14" s="17" t="s">
        <v>106</v>
      </c>
      <c r="B14" s="16">
        <f t="shared" ref="B14:L14" si="6">SUM(B7:B13)</f>
        <v>22333.333333333332</v>
      </c>
      <c r="C14" s="16">
        <f t="shared" si="6"/>
        <v>22333.333333333332</v>
      </c>
      <c r="D14" s="16">
        <f t="shared" si="6"/>
        <v>22978.333333333332</v>
      </c>
      <c r="E14" s="16">
        <f t="shared" si="6"/>
        <v>22978.333333333332</v>
      </c>
      <c r="F14" s="16">
        <f t="shared" si="6"/>
        <v>23623.333333333332</v>
      </c>
      <c r="G14" s="16">
        <f t="shared" si="6"/>
        <v>24268.333333333332</v>
      </c>
      <c r="H14" s="16">
        <f t="shared" si="6"/>
        <v>24268.333333333332</v>
      </c>
      <c r="I14" s="16">
        <f t="shared" si="6"/>
        <v>24268.333333333332</v>
      </c>
      <c r="J14" s="16">
        <f t="shared" si="6"/>
        <v>24913.333333333332</v>
      </c>
      <c r="K14" s="16">
        <f t="shared" si="6"/>
        <v>24913.333333333332</v>
      </c>
      <c r="L14" s="16">
        <f t="shared" si="6"/>
        <v>24913.333333333332</v>
      </c>
      <c r="M14" s="16">
        <f t="shared" ref="M14" si="7">SUM(M7:M13)</f>
        <v>25558.333333333332</v>
      </c>
      <c r="N14" s="16">
        <f ca="1">SUM(N7:N13)</f>
        <v>287350</v>
      </c>
    </row>
    <row r="15" spans="1:36" x14ac:dyDescent="0.25">
      <c r="A15" s="15" t="s">
        <v>107</v>
      </c>
      <c r="B15" s="19">
        <f t="shared" ref="B15:N15" si="8">B6-B14</f>
        <v>466.66666666666788</v>
      </c>
      <c r="C15" s="19">
        <f t="shared" si="8"/>
        <v>466.66666666666788</v>
      </c>
      <c r="D15" s="19">
        <f t="shared" si="8"/>
        <v>2101.6666666666715</v>
      </c>
      <c r="E15" s="19">
        <f t="shared" si="8"/>
        <v>2101.6666666666715</v>
      </c>
      <c r="F15" s="19">
        <f t="shared" si="8"/>
        <v>3736.6666666666679</v>
      </c>
      <c r="G15" s="19">
        <f t="shared" si="8"/>
        <v>5371.6666666666679</v>
      </c>
      <c r="H15" s="19">
        <f t="shared" si="8"/>
        <v>5371.6666666666679</v>
      </c>
      <c r="I15" s="19">
        <f t="shared" si="8"/>
        <v>5371.6666666666679</v>
      </c>
      <c r="J15" s="19">
        <f t="shared" si="8"/>
        <v>7006.6666666666679</v>
      </c>
      <c r="K15" s="19">
        <f t="shared" si="8"/>
        <v>7006.6666666666679</v>
      </c>
      <c r="L15" s="19">
        <f t="shared" si="8"/>
        <v>7006.6666666666679</v>
      </c>
      <c r="M15" s="19">
        <f t="shared" si="8"/>
        <v>8641.6666666666679</v>
      </c>
      <c r="N15" s="19">
        <f t="shared" ca="1" si="8"/>
        <v>54650</v>
      </c>
    </row>
    <row r="16" spans="1:36" x14ac:dyDescent="0.25">
      <c r="A16" s="11" t="s">
        <v>108</v>
      </c>
      <c r="B16" s="19">
        <v>250</v>
      </c>
      <c r="C16" s="19">
        <v>250</v>
      </c>
      <c r="D16" s="19">
        <v>250</v>
      </c>
      <c r="E16" s="19">
        <v>250</v>
      </c>
      <c r="F16" s="19">
        <v>250</v>
      </c>
      <c r="G16" s="19">
        <v>250</v>
      </c>
      <c r="H16" s="19">
        <v>250</v>
      </c>
      <c r="I16" s="19">
        <v>250</v>
      </c>
      <c r="J16" s="19">
        <v>250</v>
      </c>
      <c r="K16" s="19">
        <v>250</v>
      </c>
      <c r="L16" s="19">
        <v>250</v>
      </c>
      <c r="M16" s="19">
        <v>250</v>
      </c>
      <c r="N16" s="19">
        <f>250*12</f>
        <v>3000</v>
      </c>
    </row>
    <row r="17" spans="1:14" x14ac:dyDescent="0.25">
      <c r="A17" s="17" t="s">
        <v>109</v>
      </c>
      <c r="B17" s="16">
        <f t="shared" ref="B17:L17" si="9">+B15-B16</f>
        <v>216.66666666666788</v>
      </c>
      <c r="C17" s="16">
        <f t="shared" si="9"/>
        <v>216.66666666666788</v>
      </c>
      <c r="D17" s="16">
        <f t="shared" si="9"/>
        <v>1851.6666666666715</v>
      </c>
      <c r="E17" s="16">
        <f t="shared" si="9"/>
        <v>1851.6666666666715</v>
      </c>
      <c r="F17" s="16">
        <f t="shared" si="9"/>
        <v>3486.6666666666679</v>
      </c>
      <c r="G17" s="16">
        <f t="shared" si="9"/>
        <v>5121.6666666666679</v>
      </c>
      <c r="H17" s="16">
        <f t="shared" si="9"/>
        <v>5121.6666666666679</v>
      </c>
      <c r="I17" s="16">
        <f t="shared" si="9"/>
        <v>5121.6666666666679</v>
      </c>
      <c r="J17" s="16">
        <f t="shared" si="9"/>
        <v>6756.6666666666679</v>
      </c>
      <c r="K17" s="16">
        <f t="shared" si="9"/>
        <v>6756.6666666666679</v>
      </c>
      <c r="L17" s="16">
        <f t="shared" si="9"/>
        <v>6756.6666666666679</v>
      </c>
      <c r="M17" s="16">
        <f t="shared" ref="M17" si="10">+M15-M16</f>
        <v>8391.6666666666679</v>
      </c>
      <c r="N17" s="16">
        <f ca="1">+N15-N16</f>
        <v>51650</v>
      </c>
    </row>
    <row r="19" spans="1:14" ht="23.25" x14ac:dyDescent="0.35">
      <c r="A19" s="26" t="s">
        <v>110</v>
      </c>
    </row>
    <row r="20" spans="1:14" x14ac:dyDescent="0.25">
      <c r="A20" s="11" t="s">
        <v>100</v>
      </c>
      <c r="B20" s="38">
        <v>1</v>
      </c>
      <c r="C20" s="38">
        <v>2</v>
      </c>
      <c r="D20" s="38">
        <v>3</v>
      </c>
      <c r="E20" s="38">
        <v>4</v>
      </c>
      <c r="F20" s="38">
        <v>5</v>
      </c>
    </row>
    <row r="21" spans="1:14" x14ac:dyDescent="0.25">
      <c r="A21" s="11" t="s">
        <v>101</v>
      </c>
      <c r="B21" s="22">
        <v>0.63</v>
      </c>
      <c r="C21" s="22">
        <v>0.7</v>
      </c>
      <c r="D21" s="22">
        <v>0.9</v>
      </c>
      <c r="E21" s="22">
        <v>0.9</v>
      </c>
      <c r="F21" s="22">
        <v>1</v>
      </c>
    </row>
    <row r="22" spans="1:14" x14ac:dyDescent="0.25">
      <c r="A22" s="11" t="s">
        <v>102</v>
      </c>
      <c r="B22" s="20">
        <f>N4</f>
        <v>360000</v>
      </c>
      <c r="C22" s="20">
        <f>+'اساسيات المشروع'!$B$27*C21</f>
        <v>403200</v>
      </c>
      <c r="D22" s="20">
        <f>+'اساسيات المشروع'!$B$27*D21</f>
        <v>518400</v>
      </c>
      <c r="E22" s="20">
        <f>+'اساسيات المشروع'!$B$27*E21</f>
        <v>518400</v>
      </c>
      <c r="F22" s="20">
        <f>+'اساسيات المشروع'!$B$27*F21</f>
        <v>576000</v>
      </c>
    </row>
    <row r="23" spans="1:14" x14ac:dyDescent="0.25">
      <c r="A23" s="27" t="s">
        <v>111</v>
      </c>
      <c r="B23" s="32">
        <f>B22*5%</f>
        <v>18000</v>
      </c>
      <c r="C23" s="32">
        <f>C22*5%</f>
        <v>20160</v>
      </c>
      <c r="D23" s="32">
        <f>D22*5%</f>
        <v>25920</v>
      </c>
      <c r="E23" s="32">
        <f>E22*5%</f>
        <v>25920</v>
      </c>
      <c r="F23" s="32">
        <f>F22*5%</f>
        <v>28800</v>
      </c>
      <c r="H23" s="31"/>
    </row>
    <row r="24" spans="1:14" x14ac:dyDescent="0.25">
      <c r="A24" s="17" t="s">
        <v>104</v>
      </c>
      <c r="B24" s="33">
        <f>+B22-B23</f>
        <v>342000</v>
      </c>
      <c r="C24" s="33">
        <f>+C22-C23</f>
        <v>383040</v>
      </c>
      <c r="D24" s="33">
        <f>+D22-D23</f>
        <v>492480</v>
      </c>
      <c r="E24" s="33">
        <f>+E22-E23</f>
        <v>492480</v>
      </c>
      <c r="F24" s="33">
        <f>+F22-F23</f>
        <v>547200</v>
      </c>
    </row>
    <row r="25" spans="1:14" x14ac:dyDescent="0.25">
      <c r="A25" s="11" t="s">
        <v>29</v>
      </c>
      <c r="B25" s="20">
        <f t="shared" ref="B25:B31" si="11">+N7</f>
        <v>84000</v>
      </c>
      <c r="C25" s="20">
        <f>'اساسيات المشروع'!$E$70*C21</f>
        <v>94080</v>
      </c>
      <c r="D25" s="20">
        <f>'اساسيات المشروع'!$E$70*D21</f>
        <v>120960</v>
      </c>
      <c r="E25" s="20">
        <f>'اساسيات المشروع'!$E$70*E21</f>
        <v>120960</v>
      </c>
      <c r="F25" s="20">
        <f>'اساسيات المشروع'!$E$70*F21</f>
        <v>134400</v>
      </c>
    </row>
    <row r="26" spans="1:14" x14ac:dyDescent="0.25">
      <c r="A26" s="11" t="s">
        <v>35</v>
      </c>
      <c r="B26" s="20">
        <f t="shared" si="11"/>
        <v>66000</v>
      </c>
      <c r="C26" s="20">
        <f>'اساسيات المشروع'!$E$71*C21</f>
        <v>46200</v>
      </c>
      <c r="D26" s="20">
        <f>'اساسيات المشروع'!$E$71*D21</f>
        <v>59400</v>
      </c>
      <c r="E26" s="20">
        <f>'اساسيات المشروع'!$E$71*E21</f>
        <v>59400</v>
      </c>
      <c r="F26" s="20">
        <f>'اساسيات المشروع'!$E$71*F21</f>
        <v>66000</v>
      </c>
    </row>
    <row r="27" spans="1:14" x14ac:dyDescent="0.25">
      <c r="A27" s="11" t="s">
        <v>43</v>
      </c>
      <c r="B27" s="20">
        <f t="shared" si="11"/>
        <v>72000</v>
      </c>
      <c r="C27" s="20">
        <f>'اساسيات المشروع'!$E$72*C21</f>
        <v>50400</v>
      </c>
      <c r="D27" s="20">
        <f>'اساسيات المشروع'!$E$72*D21</f>
        <v>64800</v>
      </c>
      <c r="E27" s="20">
        <f>'اساسيات المشروع'!$E$72*E21</f>
        <v>64800</v>
      </c>
      <c r="F27" s="20">
        <f>'اساسيات المشروع'!$E$72*F21</f>
        <v>72000</v>
      </c>
    </row>
    <row r="28" spans="1:14" x14ac:dyDescent="0.25">
      <c r="A28" s="11" t="s">
        <v>49</v>
      </c>
      <c r="B28" s="20">
        <f t="shared" si="11"/>
        <v>27600</v>
      </c>
      <c r="C28" s="20">
        <f>'اساسيات المشروع'!$E$73*C21</f>
        <v>19320</v>
      </c>
      <c r="D28" s="20">
        <f>'اساسيات المشروع'!$E$73*D21</f>
        <v>24840</v>
      </c>
      <c r="E28" s="20">
        <f>'اساسيات المشروع'!$E$73*E21</f>
        <v>24840</v>
      </c>
      <c r="F28" s="20">
        <f>'اساسيات المشروع'!$E$73*F21</f>
        <v>27600</v>
      </c>
    </row>
    <row r="29" spans="1:14" x14ac:dyDescent="0.25">
      <c r="A29" s="11" t="s">
        <v>56</v>
      </c>
      <c r="B29" s="20">
        <f t="shared" si="11"/>
        <v>10500</v>
      </c>
      <c r="C29" s="20">
        <f>'اساسيات المشروع'!$E$74*C21</f>
        <v>11760</v>
      </c>
      <c r="D29" s="20">
        <f>'اساسيات المشروع'!$E$74*D21</f>
        <v>15120</v>
      </c>
      <c r="E29" s="20">
        <f>'اساسيات المشروع'!$E$74*E21</f>
        <v>15120</v>
      </c>
      <c r="F29" s="20">
        <f>'اساسيات المشروع'!$E$74*F21</f>
        <v>16800</v>
      </c>
    </row>
    <row r="30" spans="1:14" x14ac:dyDescent="0.25">
      <c r="A30" s="11" t="s">
        <v>62</v>
      </c>
      <c r="B30" s="20">
        <f t="shared" ca="1" si="11"/>
        <v>2250</v>
      </c>
      <c r="C30" s="20">
        <f>'اساسيات المشروع'!$E$75*C21</f>
        <v>2520</v>
      </c>
      <c r="D30" s="20">
        <f>'اساسيات المشروع'!$E$75*D21</f>
        <v>3240</v>
      </c>
      <c r="E30" s="20">
        <f>'اساسيات المشروع'!$E$75*E21</f>
        <v>3240</v>
      </c>
      <c r="F30" s="20">
        <f>'اساسيات المشروع'!$E$75*F21</f>
        <v>3600</v>
      </c>
    </row>
    <row r="31" spans="1:14" x14ac:dyDescent="0.25">
      <c r="A31" s="11" t="s">
        <v>105</v>
      </c>
      <c r="B31" s="20">
        <f t="shared" si="11"/>
        <v>25000</v>
      </c>
      <c r="C31" s="20">
        <f>'اساسيات المشروع'!$D$112</f>
        <v>25000</v>
      </c>
      <c r="D31" s="20">
        <f>'اساسيات المشروع'!$D$112</f>
        <v>25000</v>
      </c>
      <c r="E31" s="20">
        <f>'اساسيات المشروع'!$D$112</f>
        <v>25000</v>
      </c>
      <c r="F31" s="20">
        <f>'اساسيات المشروع'!$D$112</f>
        <v>25000</v>
      </c>
    </row>
    <row r="32" spans="1:14" x14ac:dyDescent="0.25">
      <c r="A32" s="17" t="s">
        <v>106</v>
      </c>
      <c r="B32" s="21">
        <f ca="1">SUM(B25:B31)</f>
        <v>287350</v>
      </c>
      <c r="C32" s="21">
        <f>SUM(C25:C31)</f>
        <v>249280</v>
      </c>
      <c r="D32" s="21">
        <f>SUM(D25:D31)</f>
        <v>313360</v>
      </c>
      <c r="E32" s="21">
        <f>SUM(E25:E31)</f>
        <v>313360</v>
      </c>
      <c r="F32" s="21">
        <f>SUM(F25:F31)</f>
        <v>345400</v>
      </c>
      <c r="H32" s="34"/>
    </row>
    <row r="33" spans="1:8" x14ac:dyDescent="0.25">
      <c r="A33" s="17" t="s">
        <v>107</v>
      </c>
      <c r="B33" s="33">
        <f ca="1">B24-B32</f>
        <v>54650</v>
      </c>
      <c r="C33" s="33">
        <f>C24-C32</f>
        <v>133760</v>
      </c>
      <c r="D33" s="33">
        <f>D24-D32</f>
        <v>179120</v>
      </c>
      <c r="E33" s="33">
        <f>E24-E32</f>
        <v>179120</v>
      </c>
      <c r="F33" s="33">
        <f>F24-F32</f>
        <v>201800</v>
      </c>
    </row>
    <row r="34" spans="1:8" x14ac:dyDescent="0.25">
      <c r="A34" s="11" t="s">
        <v>108</v>
      </c>
      <c r="B34" s="12">
        <f>N16</f>
        <v>3000</v>
      </c>
      <c r="C34" s="12">
        <v>4000</v>
      </c>
      <c r="D34" s="12">
        <v>5000</v>
      </c>
      <c r="E34" s="12">
        <v>6000</v>
      </c>
      <c r="F34" s="12">
        <v>7000</v>
      </c>
    </row>
    <row r="35" spans="1:8" x14ac:dyDescent="0.25">
      <c r="A35" s="17" t="s">
        <v>109</v>
      </c>
      <c r="B35" s="33">
        <f ca="1">+B33-B34</f>
        <v>51650</v>
      </c>
      <c r="C35" s="33">
        <f>+C33-C34</f>
        <v>129760</v>
      </c>
      <c r="D35" s="33">
        <f>+D33-D34</f>
        <v>174120</v>
      </c>
      <c r="E35" s="33">
        <f>+E33-E34</f>
        <v>173120</v>
      </c>
      <c r="F35" s="33">
        <f>+F33-F34</f>
        <v>194800</v>
      </c>
      <c r="H35" s="2"/>
    </row>
    <row r="36" spans="1:8" x14ac:dyDescent="0.25">
      <c r="A36" s="15" t="s">
        <v>112</v>
      </c>
      <c r="B36" s="36">
        <f ca="1">+B35/'اساسيات المشروع'!$E$17</f>
        <v>0.16026237728214868</v>
      </c>
      <c r="C36" s="36">
        <f>+C35/'اساسيات المشروع'!$E$17</f>
        <v>0.40262625510419381</v>
      </c>
      <c r="D36" s="36">
        <f>+D35/'اساسيات المشروع'!$E$17</f>
        <v>0.54026883121718727</v>
      </c>
      <c r="E36" s="36">
        <f>+E35/'اساسيات المشروع'!$E$17</f>
        <v>0.5371659778332154</v>
      </c>
      <c r="F36" s="36">
        <f>+F35/'اساسيات المشروع'!$E$17</f>
        <v>0.60443583919772625</v>
      </c>
      <c r="H36" s="35"/>
    </row>
    <row r="37" spans="1:8" x14ac:dyDescent="0.25">
      <c r="A37" s="15" t="s">
        <v>113</v>
      </c>
      <c r="B37" s="36">
        <f ca="1">+B35/B24</f>
        <v>0.1510233918128655</v>
      </c>
      <c r="C37" s="36">
        <f>+C35/C24</f>
        <v>0.33876357560568088</v>
      </c>
      <c r="D37" s="36">
        <f>+D35/D24</f>
        <v>0.35355750487329435</v>
      </c>
      <c r="E37" s="36">
        <f>+E35/E24</f>
        <v>0.35152696556205326</v>
      </c>
      <c r="F37" s="36">
        <f>+F35/F24</f>
        <v>0.35599415204678364</v>
      </c>
    </row>
    <row r="38" spans="1:8" x14ac:dyDescent="0.25">
      <c r="H38" s="35"/>
    </row>
  </sheetData>
  <hyperlinks>
    <hyperlink ref="AJ4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zoomScale="124" zoomScaleNormal="124" workbookViewId="0">
      <selection sqref="A1:D1"/>
    </sheetView>
  </sheetViews>
  <sheetFormatPr defaultColWidth="11.42578125" defaultRowHeight="15" x14ac:dyDescent="0.25"/>
  <cols>
    <col min="1" max="1" width="21.28515625" customWidth="1"/>
    <col min="2" max="2" width="14.85546875" customWidth="1"/>
    <col min="3" max="3" width="26.140625" customWidth="1"/>
    <col min="4" max="4" width="14.28515625" customWidth="1"/>
  </cols>
  <sheetData>
    <row r="1" spans="1:4" ht="30.75" customHeight="1" x14ac:dyDescent="0.25">
      <c r="A1" s="71" t="s">
        <v>114</v>
      </c>
      <c r="B1" s="71"/>
      <c r="C1" s="71"/>
      <c r="D1" s="71"/>
    </row>
    <row r="2" spans="1:4" x14ac:dyDescent="0.25">
      <c r="A2" s="11" t="s">
        <v>117</v>
      </c>
      <c r="B2" s="11" t="s">
        <v>115</v>
      </c>
      <c r="C2" s="11" t="s">
        <v>116</v>
      </c>
      <c r="D2" s="11" t="s">
        <v>115</v>
      </c>
    </row>
    <row r="3" spans="1:4" x14ac:dyDescent="0.25">
      <c r="A3" s="15" t="s">
        <v>119</v>
      </c>
      <c r="B3" s="20"/>
      <c r="C3" s="15" t="s">
        <v>118</v>
      </c>
      <c r="D3" s="37"/>
    </row>
    <row r="4" spans="1:4" x14ac:dyDescent="0.25">
      <c r="A4" s="15" t="s">
        <v>71</v>
      </c>
      <c r="B4" s="12">
        <f>+'اساسيات المشروع'!E84</f>
        <v>16821</v>
      </c>
      <c r="C4" s="15" t="s">
        <v>120</v>
      </c>
      <c r="D4" s="12">
        <v>0</v>
      </c>
    </row>
    <row r="5" spans="1:4" x14ac:dyDescent="0.25">
      <c r="A5" s="15" t="s">
        <v>122</v>
      </c>
      <c r="B5" s="12">
        <f>+'اساسيات المشروع'!E85</f>
        <v>16821</v>
      </c>
      <c r="C5" s="15" t="s">
        <v>121</v>
      </c>
      <c r="D5" s="12">
        <v>0</v>
      </c>
    </row>
    <row r="6" spans="1:4" x14ac:dyDescent="0.25">
      <c r="A6" s="15" t="s">
        <v>123</v>
      </c>
      <c r="B6" s="12">
        <f>+'اساسيات المشروع'!E86</f>
        <v>33642</v>
      </c>
      <c r="C6" s="15"/>
      <c r="D6" s="12"/>
    </row>
    <row r="7" spans="1:4" x14ac:dyDescent="0.25">
      <c r="A7" s="15" t="s">
        <v>124</v>
      </c>
      <c r="B7" s="12">
        <v>0</v>
      </c>
      <c r="C7" s="15"/>
      <c r="D7" s="12"/>
    </row>
    <row r="8" spans="1:4" x14ac:dyDescent="0.25">
      <c r="A8" s="17" t="s">
        <v>126</v>
      </c>
      <c r="B8" s="18">
        <f>SUM(B4:B7)</f>
        <v>67284</v>
      </c>
      <c r="C8" s="17" t="s">
        <v>125</v>
      </c>
      <c r="D8" s="18">
        <f>SUM(D4:D7)</f>
        <v>0</v>
      </c>
    </row>
    <row r="9" spans="1:4" x14ac:dyDescent="0.25">
      <c r="A9" s="15"/>
      <c r="B9" s="12"/>
      <c r="C9" s="15"/>
      <c r="D9" s="12"/>
    </row>
    <row r="10" spans="1:4" x14ac:dyDescent="0.25">
      <c r="A10" s="15" t="s">
        <v>128</v>
      </c>
      <c r="B10" s="12"/>
      <c r="C10" s="15" t="s">
        <v>127</v>
      </c>
      <c r="D10" s="12"/>
    </row>
    <row r="11" spans="1:4" x14ac:dyDescent="0.25">
      <c r="A11" s="15" t="s">
        <v>130</v>
      </c>
      <c r="B11" s="12">
        <f>+'اساسيات المشروع'!E109</f>
        <v>30000</v>
      </c>
      <c r="C11" s="15" t="s">
        <v>129</v>
      </c>
      <c r="D11" s="12">
        <f>+'اساسيات المشروع'!E129</f>
        <v>300000</v>
      </c>
    </row>
    <row r="12" spans="1:4" x14ac:dyDescent="0.25">
      <c r="A12" s="15" t="s">
        <v>132</v>
      </c>
      <c r="B12" s="12">
        <f>+'اساسيات المشروع'!E110</f>
        <v>170000</v>
      </c>
      <c r="C12" s="15" t="s">
        <v>131</v>
      </c>
      <c r="D12" s="12"/>
    </row>
    <row r="13" spans="1:4" x14ac:dyDescent="0.25">
      <c r="A13" s="15" t="s">
        <v>134</v>
      </c>
      <c r="B13" s="12">
        <f>+'اساسيات المشروع'!E111</f>
        <v>50000</v>
      </c>
      <c r="C13" s="17" t="s">
        <v>133</v>
      </c>
      <c r="D13" s="18">
        <f>SUM(D11:D12)</f>
        <v>300000</v>
      </c>
    </row>
    <row r="14" spans="1:4" x14ac:dyDescent="0.25">
      <c r="A14" s="17" t="s">
        <v>136</v>
      </c>
      <c r="B14" s="18">
        <f>SUM(B11:B13)</f>
        <v>250000</v>
      </c>
      <c r="C14" s="17" t="s">
        <v>135</v>
      </c>
      <c r="D14" s="18">
        <f>+D8+D13</f>
        <v>300000</v>
      </c>
    </row>
    <row r="15" spans="1:4" x14ac:dyDescent="0.25">
      <c r="A15" s="15" t="s">
        <v>94</v>
      </c>
      <c r="B15" s="12">
        <f>+'اساسيات المشروع'!E123</f>
        <v>5000</v>
      </c>
      <c r="C15" s="15" t="s">
        <v>137</v>
      </c>
      <c r="D15" s="12">
        <f>+'اساسيات المشروع'!E128</f>
        <v>22284</v>
      </c>
    </row>
    <row r="16" spans="1:4" x14ac:dyDescent="0.25">
      <c r="A16" s="17" t="s">
        <v>139</v>
      </c>
      <c r="B16" s="33">
        <f>+B8+B14+B15</f>
        <v>322284</v>
      </c>
      <c r="C16" s="17" t="s">
        <v>138</v>
      </c>
      <c r="D16" s="33">
        <f>+D13+D15</f>
        <v>322284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اساسيات المشروع</vt:lpstr>
      <vt:lpstr>الدخل</vt:lpstr>
      <vt:lpstr>الميزانية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Doha</dc:creator>
  <cp:lastModifiedBy>Doha</cp:lastModifiedBy>
  <dcterms:created xsi:type="dcterms:W3CDTF">2015-06-05T18:17:20Z</dcterms:created>
  <dcterms:modified xsi:type="dcterms:W3CDTF">2023-07-29T11:26:16Z</dcterms:modified>
</cp:coreProperties>
</file>